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ts" sheetId="2" state="visible" r:id="rId2"/>
    <sheet xmlns:r="http://schemas.openxmlformats.org/officeDocument/2006/relationships" name="Water Garden" sheetId="3" state="visible" r:id="rId3"/>
    <sheet xmlns:r="http://schemas.openxmlformats.org/officeDocument/2006/relationships" name="Livestock" sheetId="4" state="visible" r:id="rId4"/>
    <sheet xmlns:r="http://schemas.openxmlformats.org/officeDocument/2006/relationships" name="Saltwater" sheetId="5" state="visible" r:id="rId5"/>
    <sheet xmlns:r="http://schemas.openxmlformats.org/officeDocument/2006/relationships" name="Dry Good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1F4E4E"/>
      <sz val="20"/>
    </font>
    <font>
      <name val="Arial"/>
      <color rgb="00333333"/>
      <sz val="12"/>
    </font>
    <font>
      <name val="Arial"/>
      <b val="1"/>
      <color rgb="0012603F"/>
      <sz val="10"/>
    </font>
    <font>
      <name val="Arial"/>
      <color rgb="00777777"/>
      <sz val="10"/>
    </font>
    <font>
      <name val="Arial"/>
      <b val="1"/>
      <color rgb="001F4E4E"/>
      <sz val="12"/>
    </font>
    <font>
      <name val="Arial"/>
      <color rgb="00333333"/>
      <sz val="10"/>
    </font>
    <font>
      <name val="Arial"/>
      <i val="1"/>
      <color rgb="00999999"/>
      <sz val="9"/>
    </font>
    <font>
      <name val="Arial"/>
      <b val="1"/>
      <color rgb="00FFFFFF"/>
    </font>
    <font>
      <name val="Arial"/>
      <b val="1"/>
      <color rgb="001F4E4E"/>
      <sz val="11"/>
    </font>
    <font>
      <name val="Arial"/>
      <sz val="10"/>
    </font>
    <font>
      <name val="Arial"/>
      <b val="1"/>
      <color rgb="001F4E4E"/>
      <sz val="14"/>
    </font>
    <font>
      <name val="Arial"/>
      <i val="1"/>
      <color rgb="00777777"/>
      <sz val="9"/>
    </font>
    <font>
      <name val="Arial"/>
      <b val="1"/>
      <color rgb="001F4E4E"/>
      <sz val="10"/>
    </font>
    <font>
      <name val="Arial"/>
      <color rgb="001155CC"/>
      <sz val="10"/>
      <u val="single"/>
    </font>
    <font>
      <name val="Arial"/>
      <i val="1"/>
      <color rgb="00666666"/>
      <sz val="9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F4E4E"/>
      </patternFill>
    </fill>
    <fill>
      <patternFill patternType="solid">
        <fgColor rgb="00E7F0EE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8" fillId="2" borderId="0" applyAlignment="1" pivotButton="0" quotePrefix="0" xfId="0">
      <alignment vertical="center"/>
    </xf>
    <xf numFmtId="0" fontId="13" fillId="3" borderId="0" pivotButton="0" quotePrefix="0" xfId="0"/>
    <xf numFmtId="0" fontId="14" fillId="0" borderId="1" pivotButton="0" quotePrefix="0" xfId="0"/>
    <xf numFmtId="0" fontId="15" fillId="0" borderId="1" pivotButton="0" quotePrefix="0" xfId="0"/>
    <xf numFmtId="0" fontId="1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16" customWidth="1" min="3" max="3"/>
  </cols>
  <sheetData>
    <row r="2">
      <c r="B2" s="1" t="inlineStr">
        <is>
          <t>SHORE AQUATIC</t>
        </is>
      </c>
    </row>
    <row r="3">
      <c r="B3" s="2" t="inlineStr">
        <is>
          <t>Wholesale Product List — What We Grow &amp; Carry</t>
        </is>
      </c>
    </row>
    <row r="4">
      <c r="B4" s="3" t="inlineStr">
        <is>
          <t>State-Licensed Florida Aquaculture Facility · License #AQ3616100</t>
        </is>
      </c>
    </row>
    <row r="5">
      <c r="B5" s="4" t="inlineStr">
        <is>
          <t>Fort Lauderdale, FL · shoreaquatic.com · info@shoreaquatic.com</t>
        </is>
      </c>
    </row>
    <row r="7">
      <c r="B7" s="5" t="inlineStr">
        <is>
          <t>ABOUT THIS LIST</t>
        </is>
      </c>
    </row>
    <row r="8">
      <c r="B8" s="6" t="inlineStr">
        <is>
          <t>•  This is our full wholesale range for licensed retailers, public aquariums, museums, and institutions.</t>
        </is>
      </c>
    </row>
    <row r="9">
      <c r="B9" s="6" t="inlineStr">
        <is>
          <t>•  It shows everything we offer at a glance. Pricing is provided to approved account holders only.</t>
        </is>
      </c>
    </row>
    <row r="10">
      <c r="B10" s="6" t="inlineStr">
        <is>
          <t>•  Availability shifts weekly — 'Ask / Seasonal' items can often be sourced; just ask.</t>
        </is>
      </c>
    </row>
    <row r="12">
      <c r="B12" s="5" t="inlineStr">
        <is>
          <t>OPEN A WHOLESALE ACCOUNT (to see pricing &amp; order)</t>
        </is>
      </c>
    </row>
    <row r="13">
      <c r="B13" s="6" t="inlineStr">
        <is>
          <t>1.  Email info@shoreaquatic.com with your business name and a copy of your resale certificate.</t>
        </is>
      </c>
    </row>
    <row r="14">
      <c r="B14" s="6" t="inlineStr">
        <is>
          <t>2.  Tell us what you're interested in (plants, livestock, etc.).</t>
        </is>
      </c>
    </row>
    <row r="15">
      <c r="B15" s="6" t="inlineStr">
        <is>
          <t>3.  We approve and set up your portal login — usually within 1 business day.</t>
        </is>
      </c>
    </row>
    <row r="16">
      <c r="B16" s="6" t="inlineStr">
        <is>
          <t>4.  Sign in at shoreaquatic.com/wholesale to view pricing and place orders.</t>
        </is>
      </c>
    </row>
    <row r="18">
      <c r="B18" s="5" t="inlineStr">
        <is>
          <t>SHIPPING &amp; TERMS</t>
        </is>
      </c>
    </row>
    <row r="19">
      <c r="B19" s="6" t="inlineStr">
        <is>
          <t>•  Free shipping on orders $200+.</t>
        </is>
      </c>
    </row>
    <row r="20">
      <c r="B20" s="6" t="inlineStr">
        <is>
          <t>•  FedEx 2-Day, one flat rate per order (standard).</t>
        </is>
      </c>
    </row>
    <row r="21">
      <c r="B21" s="6" t="inlineStr">
        <is>
          <t>•  Overnight available on request.</t>
        </is>
      </c>
    </row>
    <row r="22">
      <c r="B22" s="6" t="inlineStr">
        <is>
          <t>•  Live arrival guarantee on all livestock.</t>
        </is>
      </c>
    </row>
    <row r="24">
      <c r="B24" s="7" t="inlineStr">
        <is>
          <t>Effective: September 30, 2026</t>
        </is>
      </c>
    </row>
    <row r="26">
      <c r="B26" s="5" t="inlineStr">
        <is>
          <t>CATALOG — use the tabs below to browse each section</t>
        </is>
      </c>
    </row>
    <row r="27">
      <c r="B27" s="8" t="inlineStr">
        <is>
          <t>Section</t>
        </is>
      </c>
      <c r="C27" s="8" t="inlineStr">
        <is>
          <t>Items</t>
        </is>
      </c>
    </row>
    <row r="28">
      <c r="B28" s="9" t="inlineStr">
        <is>
          <t>Plants</t>
        </is>
      </c>
      <c r="C28" s="10" t="n">
        <v>538</v>
      </c>
    </row>
    <row r="29">
      <c r="B29" s="9" t="inlineStr">
        <is>
          <t>Water Garden</t>
        </is>
      </c>
      <c r="C29" s="10" t="n">
        <v>438</v>
      </c>
    </row>
    <row r="30">
      <c r="B30" s="9" t="inlineStr">
        <is>
          <t>Livestock</t>
        </is>
      </c>
      <c r="C30" s="10" t="n">
        <v>521</v>
      </c>
    </row>
    <row r="31">
      <c r="B31" s="9" t="inlineStr">
        <is>
          <t>Saltwater</t>
        </is>
      </c>
      <c r="C31" s="10" t="n">
        <v>8</v>
      </c>
    </row>
    <row r="32">
      <c r="B32" s="9" t="inlineStr">
        <is>
          <t>Dry Goods</t>
        </is>
      </c>
      <c r="C32" s="10" t="n">
        <v>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4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32" customWidth="1" min="2" max="2"/>
    <col width="20" customWidth="1" min="3" max="3"/>
    <col width="16" customWidth="1" min="4" max="4"/>
  </cols>
  <sheetData>
    <row r="1">
      <c r="A1" s="11" t="inlineStr">
        <is>
          <t>PLANTS  —  Shore Aquatic Wholesale</t>
        </is>
      </c>
    </row>
    <row r="2">
      <c r="A2" s="12" t="inlineStr">
        <is>
          <t>Full range shown · pricing available to approved wholesale accounts · click a name to view online</t>
        </is>
      </c>
    </row>
    <row r="3">
      <c r="A3" s="13" t="inlineStr">
        <is>
          <t>Item (click to view)</t>
        </is>
      </c>
      <c r="B3" s="13" t="inlineStr">
        <is>
          <t>Scientific Name</t>
        </is>
      </c>
      <c r="C3" s="13" t="inlineStr">
        <is>
          <t>Size</t>
        </is>
      </c>
      <c r="D3" s="13" t="inlineStr">
        <is>
          <t>Availability</t>
        </is>
      </c>
    </row>
    <row r="4">
      <c r="A4" s="14" t="inlineStr">
        <is>
          <t xml:space="preserve">  Anubias  (62)</t>
        </is>
      </c>
    </row>
    <row r="5">
      <c r="A5" s="15">
        <f>HYPERLINK("https://shoreaquatic.com/shop/plant-panbaro","Anubias Barteri 'Rl'")</f>
        <v/>
      </c>
      <c r="B5" s="16" t="inlineStr">
        <is>
          <t>Anubias barteri 'Broad Leaf'</t>
        </is>
      </c>
      <c r="C5" s="17" t="inlineStr"/>
      <c r="D5" s="17" t="inlineStr">
        <is>
          <t>In Stock</t>
        </is>
      </c>
    </row>
    <row r="6">
      <c r="A6" s="15">
        <f>HYPERLINK("https://shoreaquatic.com/shop/plant-panbarol","Anubias Barteri, Rl")</f>
        <v/>
      </c>
      <c r="B6" s="16" t="inlineStr">
        <is>
          <t>Anubias barteri 'Broad Leaf'</t>
        </is>
      </c>
      <c r="C6" s="17" t="inlineStr">
        <is>
          <t>Large</t>
        </is>
      </c>
      <c r="D6" s="17" t="inlineStr">
        <is>
          <t>Ask / Seasonal</t>
        </is>
      </c>
    </row>
    <row r="7">
      <c r="A7" s="15">
        <f>HYPERLINK("https://shoreaquatic.com/shop/plant-pancof","Anubias Coffeefolia")</f>
        <v/>
      </c>
      <c r="B7" s="16" t="inlineStr">
        <is>
          <t>Anubias barteri 'Coffeefolia'</t>
        </is>
      </c>
      <c r="C7" s="17" t="inlineStr"/>
      <c r="D7" s="17" t="inlineStr">
        <is>
          <t>Ask / Seasonal</t>
        </is>
      </c>
    </row>
    <row r="8">
      <c r="A8" s="15">
        <f>HYPERLINK("https://shoreaquatic.com/shop/plant-anbarom","Barteri 'Round Leaf'")</f>
        <v/>
      </c>
      <c r="B8" s="16" t="inlineStr">
        <is>
          <t>Anubias barteri 'Broad Leaf'</t>
        </is>
      </c>
      <c r="C8" s="17" t="inlineStr">
        <is>
          <t>Medium</t>
        </is>
      </c>
      <c r="D8" s="17" t="inlineStr">
        <is>
          <t>Ask / Seasonal</t>
        </is>
      </c>
    </row>
    <row r="9">
      <c r="A9" s="15">
        <f>HYPERLINK("https://shoreaquatic.com/shop/plant-anbarol","Barteri 'Round Leaf'")</f>
        <v/>
      </c>
      <c r="B9" s="16" t="inlineStr">
        <is>
          <t>Anubias barteri 'Broad Leaf'</t>
        </is>
      </c>
      <c r="C9" s="17" t="inlineStr">
        <is>
          <t>Large</t>
        </is>
      </c>
      <c r="D9" s="17" t="inlineStr">
        <is>
          <t>Ask / Seasonal</t>
        </is>
      </c>
    </row>
    <row r="10">
      <c r="A10" s="15">
        <f>HYPERLINK("https://shoreaquatic.com/shop/plant-ancofm","Coffeefolia")</f>
        <v/>
      </c>
      <c r="B10" s="16" t="inlineStr">
        <is>
          <t>Anubias barteri 'Coffeefolia'</t>
        </is>
      </c>
      <c r="C10" s="17" t="inlineStr">
        <is>
          <t>Medium</t>
        </is>
      </c>
      <c r="D10" s="17" t="inlineStr">
        <is>
          <t>Ask / Seasonal</t>
        </is>
      </c>
    </row>
    <row r="11">
      <c r="A11" s="15">
        <f>HYPERLINK("https://shoreaquatic.com/shop/plant-ancofl","Coffeefolia")</f>
        <v/>
      </c>
      <c r="B11" s="16" t="inlineStr">
        <is>
          <t>Anubias barteri 'Coffeefolia'</t>
        </is>
      </c>
      <c r="C11" s="17" t="inlineStr">
        <is>
          <t>Large</t>
        </is>
      </c>
      <c r="D11" s="17" t="inlineStr">
        <is>
          <t>Seasonal</t>
        </is>
      </c>
    </row>
    <row r="12">
      <c r="A12" s="15">
        <f>HYPERLINK("https://shoreaquatic.com/shop/plant-anconm","Congensis")</f>
        <v/>
      </c>
      <c r="B12" s="16" t="inlineStr">
        <is>
          <t>Anubias 'afzelii'</t>
        </is>
      </c>
      <c r="C12" s="17" t="inlineStr">
        <is>
          <t>Medium</t>
        </is>
      </c>
      <c r="D12" s="17" t="inlineStr">
        <is>
          <t>In Stock</t>
        </is>
      </c>
    </row>
    <row r="13">
      <c r="A13" s="15">
        <f>HYPERLINK("https://shoreaquatic.com/shop/plant-anconl","Congensis")</f>
        <v/>
      </c>
      <c r="B13" s="16" t="inlineStr">
        <is>
          <t>Anubias 'afzelii'</t>
        </is>
      </c>
      <c r="C13" s="17" t="inlineStr">
        <is>
          <t>Large</t>
        </is>
      </c>
      <c r="D13" s="17" t="inlineStr">
        <is>
          <t>Ask / Seasonal</t>
        </is>
      </c>
    </row>
    <row r="14">
      <c r="A14" s="15">
        <f>HYPERLINK("https://shoreaquatic.com/shop/plant-anfram","Frazeri")</f>
        <v/>
      </c>
      <c r="B14" s="16" t="inlineStr">
        <is>
          <t>Anubias 'frazeri'</t>
        </is>
      </c>
      <c r="C14" s="17" t="inlineStr">
        <is>
          <t>Medium</t>
        </is>
      </c>
      <c r="D14" s="17" t="inlineStr">
        <is>
          <t>Ask / Seasonal</t>
        </is>
      </c>
    </row>
    <row r="15">
      <c r="A15" s="15">
        <f>HYPERLINK("https://shoreaquatic.com/shop/plant-anfral","Frazeri")</f>
        <v/>
      </c>
      <c r="B15" s="16" t="inlineStr">
        <is>
          <t>Anubias 'frazeri'</t>
        </is>
      </c>
      <c r="C15" s="17" t="inlineStr">
        <is>
          <t>Large</t>
        </is>
      </c>
      <c r="D15" s="17" t="inlineStr">
        <is>
          <t>Ask / Seasonal</t>
        </is>
      </c>
    </row>
    <row r="16">
      <c r="A16" s="15">
        <f>HYPERLINK("https://shoreaquatic.com/shop/plant-anhasm","Hastifolia")</f>
        <v/>
      </c>
      <c r="B16" s="16" t="inlineStr">
        <is>
          <t>Anubias 'hastifolia'</t>
        </is>
      </c>
      <c r="C16" s="17" t="inlineStr">
        <is>
          <t>Medium</t>
        </is>
      </c>
      <c r="D16" s="17" t="inlineStr">
        <is>
          <t>In Stock</t>
        </is>
      </c>
    </row>
    <row r="17">
      <c r="A17" s="15">
        <f>HYPERLINK("https://shoreaquatic.com/shop/plant-anhasl","Hastifolia")</f>
        <v/>
      </c>
      <c r="B17" s="16" t="inlineStr">
        <is>
          <t>Anubias 'hastifolia'</t>
        </is>
      </c>
      <c r="C17" s="17" t="inlineStr">
        <is>
          <t>Large</t>
        </is>
      </c>
      <c r="D17" s="17" t="inlineStr">
        <is>
          <t>In Stock</t>
        </is>
      </c>
    </row>
    <row r="18">
      <c r="A18" s="15">
        <f>HYPERLINK("https://shoreaquatic.com/shop/plant-anlanm","Lanceolata")</f>
        <v/>
      </c>
      <c r="B18" s="16" t="inlineStr">
        <is>
          <t>Anubias barteri var. 'Angustifolia'</t>
        </is>
      </c>
      <c r="C18" s="17" t="inlineStr">
        <is>
          <t>Medium</t>
        </is>
      </c>
      <c r="D18" s="17" t="inlineStr">
        <is>
          <t>Ask / Seasonal</t>
        </is>
      </c>
    </row>
    <row r="19">
      <c r="A19" s="15">
        <f>HYPERLINK("https://shoreaquatic.com/shop/plant-anlanl","Lanceolata")</f>
        <v/>
      </c>
      <c r="B19" s="16" t="inlineStr">
        <is>
          <t>Anubias barteri var. 'Angustifolia'</t>
        </is>
      </c>
      <c r="C19" s="17" t="inlineStr">
        <is>
          <t>Large</t>
        </is>
      </c>
      <c r="D19" s="17" t="inlineStr">
        <is>
          <t>Ask / Seasonal</t>
        </is>
      </c>
    </row>
    <row r="20">
      <c r="A20" s="15">
        <f>HYPERLINK("https://shoreaquatic.com/shop/plant-annanm","Nana")</f>
        <v/>
      </c>
      <c r="B20" s="16" t="inlineStr">
        <is>
          <t>Anubias barteri var.' nana'</t>
        </is>
      </c>
      <c r="C20" s="17" t="inlineStr">
        <is>
          <t>Medium</t>
        </is>
      </c>
      <c r="D20" s="17" t="inlineStr">
        <is>
          <t>In Stock</t>
        </is>
      </c>
    </row>
    <row r="21">
      <c r="A21" s="15">
        <f>HYPERLINK("https://shoreaquatic.com/shop/plant-annanl","Nana")</f>
        <v/>
      </c>
      <c r="B21" s="16" t="inlineStr">
        <is>
          <t>Anubias barteri var. 'nana'</t>
        </is>
      </c>
      <c r="C21" s="17" t="inlineStr">
        <is>
          <t>Large</t>
        </is>
      </c>
      <c r="D21" s="17" t="inlineStr">
        <is>
          <t>Ask / Seasonal</t>
        </is>
      </c>
    </row>
    <row r="22">
      <c r="A22" s="15">
        <f>HYPERLINK("https://shoreaquatic.com/shop/plant-annapel","Nana 'Petite'")</f>
        <v/>
      </c>
      <c r="B22" s="16" t="inlineStr">
        <is>
          <t>Anubias barteri var. nana 'Petite'</t>
        </is>
      </c>
      <c r="C22" s="17" t="inlineStr">
        <is>
          <t>Medium</t>
        </is>
      </c>
      <c r="D22" s="17" t="inlineStr">
        <is>
          <t>Seasonal</t>
        </is>
      </c>
    </row>
    <row r="23">
      <c r="A23" s="15">
        <f>HYPERLINK("https://shoreaquatic.com/shop/plant-annagom","Nana Golden")</f>
        <v/>
      </c>
      <c r="B23" s="16" t="inlineStr">
        <is>
          <t>Anubia Nana var. 'Golden'</t>
        </is>
      </c>
      <c r="C23" s="17" t="inlineStr">
        <is>
          <t>Medium</t>
        </is>
      </c>
      <c r="D23" s="17" t="inlineStr">
        <is>
          <t>Ask / Seasonal</t>
        </is>
      </c>
    </row>
    <row r="24">
      <c r="A24" s="15">
        <f>HYPERLINK("https://shoreaquatic.com/shop/plant-annannl","Nana Narrow Leaf")</f>
        <v/>
      </c>
      <c r="B24" s="16" t="inlineStr">
        <is>
          <t>Anubias barteri var. nana 'Narrow Leaf'</t>
        </is>
      </c>
      <c r="C24" s="17" t="inlineStr"/>
      <c r="D24" s="17" t="inlineStr">
        <is>
          <t>In Stock</t>
        </is>
      </c>
    </row>
    <row r="25">
      <c r="A25" s="15">
        <f>HYPERLINK("https://shoreaquatic.com/shop/plant-poril","Oriental")</f>
        <v/>
      </c>
      <c r="B25" s="16" t="inlineStr">
        <is>
          <t>Echinodorus 'Oriental'</t>
        </is>
      </c>
      <c r="C25" s="17" t="inlineStr">
        <is>
          <t>Large</t>
        </is>
      </c>
      <c r="D25" s="17" t="inlineStr">
        <is>
          <t>Seasonal</t>
        </is>
      </c>
    </row>
    <row r="26">
      <c r="A26" s="15">
        <f>HYPERLINK("https://shoreaquatic.com/shop/plant-pozel","Ozelot")</f>
        <v/>
      </c>
      <c r="B26" s="16" t="inlineStr">
        <is>
          <t>Echinodorus 'Ozelot'</t>
        </is>
      </c>
      <c r="C26" s="17" t="inlineStr">
        <is>
          <t>Large</t>
        </is>
      </c>
      <c r="D26" s="17" t="inlineStr">
        <is>
          <t>Seasonal</t>
        </is>
      </c>
    </row>
    <row r="27">
      <c r="A27" s="15">
        <f>HYPERLINK("https://shoreaquatic.com/shop/plant-poze","Ozelot 6-24")</f>
        <v/>
      </c>
      <c r="B27" s="16" t="inlineStr">
        <is>
          <t>Echinodorus 'Ozelot'</t>
        </is>
      </c>
      <c r="C27" s="17" t="inlineStr"/>
      <c r="D27" s="17" t="inlineStr">
        <is>
          <t>In Stock</t>
        </is>
      </c>
    </row>
    <row r="28">
      <c r="A28" s="15">
        <f>HYPERLINK("https://shoreaquatic.com/shop/plant-pozgrl","Ozelot, Green")</f>
        <v/>
      </c>
      <c r="B28" s="16" t="inlineStr">
        <is>
          <t>Echinodorus 'Ozelot green'</t>
        </is>
      </c>
      <c r="C28" s="17" t="inlineStr">
        <is>
          <t>Large</t>
        </is>
      </c>
      <c r="D28" s="17" t="inlineStr">
        <is>
          <t>Seasonal</t>
        </is>
      </c>
    </row>
    <row r="29">
      <c r="A29" s="15">
        <f>HYPERLINK("https://shoreaquatic.com/shop/plant-pozgr","Ozelot, Green 6-24")</f>
        <v/>
      </c>
      <c r="B29" s="16" t="inlineStr">
        <is>
          <t>Echinodorus 'Ozelot green'</t>
        </is>
      </c>
      <c r="C29" s="17" t="inlineStr"/>
      <c r="D29" s="17" t="inlineStr">
        <is>
          <t>In Stock</t>
        </is>
      </c>
    </row>
    <row r="30">
      <c r="A30" s="15">
        <f>HYPERLINK("https://shoreaquatic.com/shop/plant-pradl","Radican")</f>
        <v/>
      </c>
      <c r="B30" s="16" t="inlineStr">
        <is>
          <t>Echinodorus cordifolius</t>
        </is>
      </c>
      <c r="C30" s="17" t="inlineStr">
        <is>
          <t>Large</t>
        </is>
      </c>
      <c r="D30" s="17" t="inlineStr">
        <is>
          <t>Seasonal</t>
        </is>
      </c>
    </row>
    <row r="31">
      <c r="A31" s="15">
        <f>HYPERLINK("https://shoreaquatic.com/shop/plant-prad","Radican 6-24")</f>
        <v/>
      </c>
      <c r="B31" s="16" t="inlineStr">
        <is>
          <t>Echinodorus cordifolius</t>
        </is>
      </c>
      <c r="C31" s="17" t="inlineStr"/>
      <c r="D31" s="17" t="inlineStr">
        <is>
          <t>In Stock</t>
        </is>
      </c>
    </row>
    <row r="32">
      <c r="A32" s="15">
        <f>HYPERLINK("https://shoreaquatic.com/shop/plant-pramal","Radican, Marble Q")</f>
        <v/>
      </c>
      <c r="B32" s="16" t="inlineStr">
        <is>
          <t>Echinodorus cordifolius 'Tropica Marble Queen'</t>
        </is>
      </c>
      <c r="C32" s="17" t="inlineStr">
        <is>
          <t>Large</t>
        </is>
      </c>
      <c r="D32" s="17" t="inlineStr">
        <is>
          <t>Seasonal</t>
        </is>
      </c>
    </row>
    <row r="33">
      <c r="A33" s="15">
        <f>HYPERLINK("https://shoreaquatic.com/shop/plant-prama","Radican, Marble Q. 6-24")</f>
        <v/>
      </c>
      <c r="B33" s="16" t="inlineStr">
        <is>
          <t>Echinodorus cordifolius 'Tropica Marble Queen'</t>
        </is>
      </c>
      <c r="C33" s="17" t="inlineStr"/>
      <c r="D33" s="17" t="inlineStr">
        <is>
          <t>In Stock</t>
        </is>
      </c>
    </row>
    <row r="34">
      <c r="A34" s="15">
        <f>HYPERLINK("https://shoreaquatic.com/shop/plant-prefll","Red Flame")</f>
        <v/>
      </c>
      <c r="B34" s="16" t="inlineStr">
        <is>
          <t>Echinodorus 'Red Flame'</t>
        </is>
      </c>
      <c r="C34" s="17" t="inlineStr">
        <is>
          <t>Large</t>
        </is>
      </c>
      <c r="D34" s="17" t="inlineStr">
        <is>
          <t>Seasonal</t>
        </is>
      </c>
    </row>
    <row r="35">
      <c r="A35" s="15">
        <f>HYPERLINK("https://shoreaquatic.com/shop/plant-prefl","Red Flame 6-24")</f>
        <v/>
      </c>
      <c r="B35" s="16" t="inlineStr">
        <is>
          <t>Echinodorus 'Red Flame'</t>
        </is>
      </c>
      <c r="C35" s="17" t="inlineStr"/>
      <c r="D35" s="17" t="inlineStr">
        <is>
          <t>Ask / Seasonal</t>
        </is>
      </c>
    </row>
    <row r="36">
      <c r="A36" s="15">
        <f>HYPERLINK("https://shoreaquatic.com/shop/plant-eremes","Red Melon")</f>
        <v/>
      </c>
      <c r="B36" s="16" t="inlineStr">
        <is>
          <t>Echinodorus barthii</t>
        </is>
      </c>
      <c r="C36" s="17" t="inlineStr">
        <is>
          <t>Small</t>
        </is>
      </c>
      <c r="D36" s="17" t="inlineStr">
        <is>
          <t>In Stock</t>
        </is>
      </c>
    </row>
    <row r="37">
      <c r="A37" s="15">
        <f>HYPERLINK("https://shoreaquatic.com/shop/plant-eremem","Red Melon")</f>
        <v/>
      </c>
      <c r="B37" s="16" t="inlineStr">
        <is>
          <t>Echinodorus barthii</t>
        </is>
      </c>
      <c r="C37" s="17" t="inlineStr">
        <is>
          <t>Medium</t>
        </is>
      </c>
      <c r="D37" s="17" t="inlineStr">
        <is>
          <t>Ask / Seasonal</t>
        </is>
      </c>
    </row>
    <row r="38">
      <c r="A38" s="15">
        <f>HYPERLINK("https://shoreaquatic.com/shop/plant-eremel","Red Melon")</f>
        <v/>
      </c>
      <c r="B38" s="16" t="inlineStr">
        <is>
          <t>Echinodorus barthii</t>
        </is>
      </c>
      <c r="C38" s="17" t="inlineStr">
        <is>
          <t>Large</t>
        </is>
      </c>
      <c r="D38" s="17" t="inlineStr">
        <is>
          <t>Ask / Seasonal</t>
        </is>
      </c>
    </row>
    <row r="39">
      <c r="A39" s="15">
        <f>HYPERLINK("https://shoreaquatic.com/shop/plant-eremex","Red Melon")</f>
        <v/>
      </c>
      <c r="B39" s="16" t="inlineStr">
        <is>
          <t>Echinodorus barthii</t>
        </is>
      </c>
      <c r="C39" s="17" t="inlineStr">
        <is>
          <t>X-Large</t>
        </is>
      </c>
      <c r="D39" s="17" t="inlineStr">
        <is>
          <t>Seasonal</t>
        </is>
      </c>
    </row>
    <row r="40">
      <c r="A40" s="15">
        <f>HYPERLINK("https://shoreaquatic.com/shop/plant-preme","Red Melon")</f>
        <v/>
      </c>
      <c r="B40" s="16" t="inlineStr">
        <is>
          <t>Echinodorus barthii</t>
        </is>
      </c>
      <c r="C40" s="17" t="inlineStr"/>
      <c r="D40" s="17" t="inlineStr">
        <is>
          <t>In Stock</t>
        </is>
      </c>
    </row>
    <row r="41">
      <c r="A41" s="15">
        <f>HYPERLINK("https://shoreaquatic.com/shop/plant-premel","Red Melon")</f>
        <v/>
      </c>
      <c r="B41" s="16" t="inlineStr">
        <is>
          <t>Echinodorus barthii</t>
        </is>
      </c>
      <c r="C41" s="17" t="inlineStr">
        <is>
          <t>Large</t>
        </is>
      </c>
      <c r="D41" s="17" t="inlineStr">
        <is>
          <t>Seasonal</t>
        </is>
      </c>
    </row>
    <row r="42">
      <c r="A42" s="15">
        <f>HYPERLINK("https://shoreaquatic.com/shop/plant-erepem","Red Pearl")</f>
        <v/>
      </c>
      <c r="B42" s="16" t="inlineStr">
        <is>
          <t>Echinodorus 'Red Pearl'</t>
        </is>
      </c>
      <c r="C42" s="17" t="inlineStr">
        <is>
          <t>Medium</t>
        </is>
      </c>
      <c r="D42" s="17" t="inlineStr">
        <is>
          <t>Ask / Seasonal</t>
        </is>
      </c>
    </row>
    <row r="43">
      <c r="A43" s="15">
        <f>HYPERLINK("https://shoreaquatic.com/shop/plant-erepel","Red Pearl")</f>
        <v/>
      </c>
      <c r="B43" s="16" t="inlineStr">
        <is>
          <t>Echinodorus 'Red Pearl'</t>
        </is>
      </c>
      <c r="C43" s="17" t="inlineStr">
        <is>
          <t>Large</t>
        </is>
      </c>
      <c r="D43" s="17" t="inlineStr">
        <is>
          <t>Ask / Seasonal</t>
        </is>
      </c>
    </row>
    <row r="44">
      <c r="A44" s="15">
        <f>HYPERLINK("https://shoreaquatic.com/shop/plant-prepel","Red Pearl")</f>
        <v/>
      </c>
      <c r="B44" s="16" t="inlineStr">
        <is>
          <t>Echinodorus 'Red Pearl'</t>
        </is>
      </c>
      <c r="C44" s="17" t="inlineStr">
        <is>
          <t>Large</t>
        </is>
      </c>
      <c r="D44" s="17" t="inlineStr">
        <is>
          <t>Ask / Seasonal</t>
        </is>
      </c>
    </row>
    <row r="45">
      <c r="A45" s="15">
        <f>HYPERLINK("https://shoreaquatic.com/shop/plant-ererum","Red Rubin")</f>
        <v/>
      </c>
      <c r="B45" s="16" t="inlineStr">
        <is>
          <t>Echinodorus 'Rubin'</t>
        </is>
      </c>
      <c r="C45" s="17" t="inlineStr">
        <is>
          <t>Medium</t>
        </is>
      </c>
      <c r="D45" s="17" t="inlineStr">
        <is>
          <t>Seasonal</t>
        </is>
      </c>
    </row>
    <row r="46">
      <c r="A46" s="15">
        <f>HYPERLINK("https://shoreaquatic.com/shop/plant-ererul","Red Rubin")</f>
        <v/>
      </c>
      <c r="B46" s="16" t="inlineStr">
        <is>
          <t>Echinodorus 'Rubin'</t>
        </is>
      </c>
      <c r="C46" s="17" t="inlineStr">
        <is>
          <t>Large</t>
        </is>
      </c>
      <c r="D46" s="17" t="inlineStr">
        <is>
          <t>Seasonal</t>
        </is>
      </c>
    </row>
    <row r="47">
      <c r="A47" s="15">
        <f>HYPERLINK("https://shoreaquatic.com/shop/plant-ererux","Red Rubin")</f>
        <v/>
      </c>
      <c r="B47" s="16" t="inlineStr">
        <is>
          <t>Echinodorus 'Rubin'</t>
        </is>
      </c>
      <c r="C47" s="17" t="inlineStr">
        <is>
          <t>X-Large</t>
        </is>
      </c>
      <c r="D47" s="17" t="inlineStr">
        <is>
          <t>Seasonal</t>
        </is>
      </c>
    </row>
    <row r="48">
      <c r="A48" s="15">
        <f>HYPERLINK("https://shoreaquatic.com/shop/plant-preru","Red Rubin")</f>
        <v/>
      </c>
      <c r="B48" s="16" t="inlineStr">
        <is>
          <t>Echinodorus 'Rubin'</t>
        </is>
      </c>
      <c r="C48" s="17" t="inlineStr"/>
      <c r="D48" s="17" t="inlineStr">
        <is>
          <t>Ask / Seasonal</t>
        </is>
      </c>
    </row>
    <row r="49">
      <c r="A49" s="15">
        <f>HYPERLINK("https://shoreaquatic.com/shop/plant-prerul","Red Rubin")</f>
        <v/>
      </c>
      <c r="B49" s="16" t="inlineStr">
        <is>
          <t>Echinodorus 'Rubin'</t>
        </is>
      </c>
      <c r="C49" s="17" t="inlineStr">
        <is>
          <t>Large</t>
        </is>
      </c>
      <c r="D49" s="17" t="inlineStr">
        <is>
          <t>Seasonal</t>
        </is>
      </c>
    </row>
    <row r="50">
      <c r="A50" s="15">
        <f>HYPERLINK("https://shoreaquatic.com/shop/plant-pren","Reni 6-24")</f>
        <v/>
      </c>
      <c r="B50" s="16" t="inlineStr">
        <is>
          <t>Echinodorus 'Reni'</t>
        </is>
      </c>
      <c r="C50" s="17" t="inlineStr"/>
      <c r="D50" s="17" t="inlineStr">
        <is>
          <t>In Stock</t>
        </is>
      </c>
    </row>
    <row r="51">
      <c r="A51" s="15">
        <f>HYPERLINK("https://shoreaquatic.com/shop/plant-prosel","Rose")</f>
        <v/>
      </c>
      <c r="B51" s="16" t="inlineStr">
        <is>
          <t>Echinodorus 'Rose'</t>
        </is>
      </c>
      <c r="C51" s="17" t="inlineStr">
        <is>
          <t>Large</t>
        </is>
      </c>
      <c r="D51" s="17" t="inlineStr">
        <is>
          <t>Seasonal</t>
        </is>
      </c>
    </row>
    <row r="52">
      <c r="A52" s="15">
        <f>HYPERLINK("https://shoreaquatic.com/shop/plant-erosts","Rosette")</f>
        <v/>
      </c>
      <c r="B52" s="16" t="inlineStr">
        <is>
          <t>Echinodorus parviflorus 'Tropica'</t>
        </is>
      </c>
      <c r="C52" s="17" t="inlineStr">
        <is>
          <t>Small</t>
        </is>
      </c>
      <c r="D52" s="17" t="inlineStr">
        <is>
          <t>In Stock</t>
        </is>
      </c>
    </row>
    <row r="53">
      <c r="A53" s="15">
        <f>HYPERLINK("https://shoreaquatic.com/shop/plant-erostm","Rosette")</f>
        <v/>
      </c>
      <c r="B53" s="16" t="inlineStr">
        <is>
          <t>Echinodorus parviflorus 'Tropica'</t>
        </is>
      </c>
      <c r="C53" s="17" t="inlineStr">
        <is>
          <t>Medium</t>
        </is>
      </c>
      <c r="D53" s="17" t="inlineStr">
        <is>
          <t>In Stock</t>
        </is>
      </c>
    </row>
    <row r="54">
      <c r="A54" s="15">
        <f>HYPERLINK("https://shoreaquatic.com/shop/plant-erostl","Rosette")</f>
        <v/>
      </c>
      <c r="B54" s="16" t="inlineStr">
        <is>
          <t>Echinodorus parviflorus 'Tropica'</t>
        </is>
      </c>
      <c r="C54" s="17" t="inlineStr">
        <is>
          <t>Large</t>
        </is>
      </c>
      <c r="D54" s="17" t="inlineStr">
        <is>
          <t>Ask / Seasonal</t>
        </is>
      </c>
    </row>
    <row r="55">
      <c r="A55" s="15">
        <f>HYPERLINK("https://shoreaquatic.com/shop/plant-erostx","Rosette")</f>
        <v/>
      </c>
      <c r="B55" s="16" t="inlineStr">
        <is>
          <t>Echinodorus parviflorus 'Tropica'</t>
        </is>
      </c>
      <c r="C55" s="17" t="inlineStr">
        <is>
          <t>X-Large</t>
        </is>
      </c>
      <c r="D55" s="17" t="inlineStr">
        <is>
          <t>Seasonal</t>
        </is>
      </c>
    </row>
    <row r="56">
      <c r="A56" s="15">
        <f>HYPERLINK("https://shoreaquatic.com/shop/plant-erufs","Ruffle")</f>
        <v/>
      </c>
      <c r="B56" s="16" t="inlineStr">
        <is>
          <t>Echinodorus martii</t>
        </is>
      </c>
      <c r="C56" s="17" t="inlineStr">
        <is>
          <t>Small</t>
        </is>
      </c>
      <c r="D56" s="17" t="inlineStr">
        <is>
          <t>Seasonal</t>
        </is>
      </c>
    </row>
    <row r="57">
      <c r="A57" s="15">
        <f>HYPERLINK("https://shoreaquatic.com/shop/plant-erufm","Ruffle")</f>
        <v/>
      </c>
      <c r="B57" s="16" t="inlineStr">
        <is>
          <t>Echinodorus martii</t>
        </is>
      </c>
      <c r="C57" s="17" t="inlineStr">
        <is>
          <t>Medium</t>
        </is>
      </c>
      <c r="D57" s="17" t="inlineStr">
        <is>
          <t>In Stock</t>
        </is>
      </c>
    </row>
    <row r="58">
      <c r="A58" s="15">
        <f>HYPERLINK("https://shoreaquatic.com/shop/plant-erufl","Ruffle")</f>
        <v/>
      </c>
      <c r="B58" s="16" t="inlineStr">
        <is>
          <t>Echinodorus martii</t>
        </is>
      </c>
      <c r="C58" s="17" t="inlineStr">
        <is>
          <t>Large</t>
        </is>
      </c>
      <c r="D58" s="17" t="inlineStr">
        <is>
          <t>Seasonal</t>
        </is>
      </c>
    </row>
    <row r="59">
      <c r="A59" s="15">
        <f>HYPERLINK("https://shoreaquatic.com/shop/plant-erufx","Ruffle")</f>
        <v/>
      </c>
      <c r="B59" s="16" t="inlineStr">
        <is>
          <t>Echinodorus martii</t>
        </is>
      </c>
      <c r="C59" s="17" t="inlineStr">
        <is>
          <t>X-Large</t>
        </is>
      </c>
      <c r="D59" s="17" t="inlineStr">
        <is>
          <t>Seasonal</t>
        </is>
      </c>
    </row>
    <row r="60">
      <c r="A60" s="15">
        <f>HYPERLINK("https://shoreaquatic.com/shop/plant-estelm","St. Elmo'S Fire")</f>
        <v/>
      </c>
      <c r="B60" s="16" t="inlineStr">
        <is>
          <t>Echinodorus 'St. Elmo's Fire'</t>
        </is>
      </c>
      <c r="C60" s="17" t="inlineStr">
        <is>
          <t>Medium</t>
        </is>
      </c>
      <c r="D60" s="17" t="inlineStr">
        <is>
          <t>Ask / Seasonal</t>
        </is>
      </c>
    </row>
    <row r="61">
      <c r="A61" s="15">
        <f>HYPERLINK("https://shoreaquatic.com/shop/plant-estell","St. Elmo'S Fire")</f>
        <v/>
      </c>
      <c r="B61" s="16" t="inlineStr">
        <is>
          <t>Echinodorus 'St. Elmo's Fire'</t>
        </is>
      </c>
      <c r="C61" s="17" t="inlineStr">
        <is>
          <t>Large</t>
        </is>
      </c>
      <c r="D61" s="17" t="inlineStr">
        <is>
          <t>Ask / Seasonal</t>
        </is>
      </c>
    </row>
    <row r="62">
      <c r="A62" s="15">
        <f>HYPERLINK("https://shoreaquatic.com/shop/plant-pstell","St. Elmo'S Fire")</f>
        <v/>
      </c>
      <c r="B62" s="16" t="inlineStr">
        <is>
          <t>Echinodorus 'St. Elmo's Fire'</t>
        </is>
      </c>
      <c r="C62" s="17" t="inlineStr">
        <is>
          <t>Large</t>
        </is>
      </c>
      <c r="D62" s="17" t="inlineStr">
        <is>
          <t>Seasonal</t>
        </is>
      </c>
    </row>
    <row r="63">
      <c r="A63" s="15">
        <f>HYPERLINK("https://shoreaquatic.com/shop/plant-puru","Uruguayensis")</f>
        <v/>
      </c>
      <c r="B63" s="16" t="inlineStr">
        <is>
          <t>Echinodorus uruguayensis</t>
        </is>
      </c>
      <c r="C63" s="17" t="inlineStr"/>
      <c r="D63" s="17" t="inlineStr">
        <is>
          <t>Seasonal</t>
        </is>
      </c>
    </row>
    <row r="64">
      <c r="A64" s="15">
        <f>HYPERLINK("https://shoreaquatic.com/shop/plant-purul","Uruguayensis")</f>
        <v/>
      </c>
      <c r="B64" s="16" t="inlineStr">
        <is>
          <t>Echinodorus uruguayensis</t>
        </is>
      </c>
      <c r="C64" s="17" t="inlineStr">
        <is>
          <t>Large</t>
        </is>
      </c>
      <c r="D64" s="17" t="inlineStr">
        <is>
          <t>Seasonal</t>
        </is>
      </c>
    </row>
    <row r="65">
      <c r="A65" s="15">
        <f>HYPERLINK("https://shoreaquatic.com/shop/plant-evesm","Vesuvius")</f>
        <v/>
      </c>
      <c r="B65" s="16" t="inlineStr">
        <is>
          <t>Helanthium bolivianum 'Vesuvius'</t>
        </is>
      </c>
      <c r="C65" s="17" t="inlineStr"/>
      <c r="D65" s="17" t="inlineStr">
        <is>
          <t>In Stock</t>
        </is>
      </c>
    </row>
    <row r="66">
      <c r="A66" s="15">
        <f>HYPERLINK("https://shoreaquatic.com/shop/plant-pves","Vesuvius 6-24")</f>
        <v/>
      </c>
      <c r="B66" s="16" t="inlineStr">
        <is>
          <t>Helanthium bolivianum 'Vesuvius'</t>
        </is>
      </c>
      <c r="C66" s="17" t="inlineStr"/>
      <c r="D66" s="17" t="inlineStr">
        <is>
          <t>Seasonal</t>
        </is>
      </c>
    </row>
    <row r="67">
      <c r="A67" s="14" t="inlineStr">
        <is>
          <t xml:space="preserve">  Bunch Plants  (60)</t>
        </is>
      </c>
    </row>
    <row r="68">
      <c r="A68" s="15">
        <f>HYPERLINK("https://shoreaquatic.com/shop/plant-balplnl","Aluminum Plant")</f>
        <v/>
      </c>
      <c r="B68" s="16" t="inlineStr">
        <is>
          <t>Pilea cadierei</t>
        </is>
      </c>
      <c r="C68" s="17" t="inlineStr"/>
      <c r="D68" s="17" t="inlineStr">
        <is>
          <t>In Stock</t>
        </is>
      </c>
    </row>
    <row r="69">
      <c r="A69" s="15">
        <f>HYPERLINK("https://shoreaquatic.com/shop/plant-bambnl","Ambulia")</f>
        <v/>
      </c>
      <c r="B69" s="16" t="inlineStr">
        <is>
          <t>Limnophila indica</t>
        </is>
      </c>
      <c r="C69" s="17" t="inlineStr"/>
      <c r="D69" s="17" t="inlineStr">
        <is>
          <t>In Stock</t>
        </is>
      </c>
    </row>
    <row r="70">
      <c r="A70" s="15">
        <f>HYPERLINK("https://shoreaquatic.com/shop/plant-bammnl","Ammannia")</f>
        <v/>
      </c>
      <c r="B70" s="16" t="inlineStr">
        <is>
          <t>Ammannia senegalensis</t>
        </is>
      </c>
      <c r="C70" s="17" t="inlineStr"/>
      <c r="D70" s="17" t="inlineStr">
        <is>
          <t>In Stock</t>
        </is>
      </c>
    </row>
    <row r="71">
      <c r="A71" s="15">
        <f>HYPERLINK("https://shoreaquatic.com/shop/plant-banimnl","Anacharis")</f>
        <v/>
      </c>
      <c r="B71" s="16" t="inlineStr">
        <is>
          <t>Egeria densa</t>
        </is>
      </c>
      <c r="C71" s="17" t="inlineStr"/>
      <c r="D71" s="17" t="inlineStr">
        <is>
          <t>In Stock</t>
        </is>
      </c>
    </row>
    <row r="72">
      <c r="A72" s="15">
        <f>HYPERLINK("https://shoreaquatic.com/shop/plant-bannanl","Anacharis, Narrow Lf")</f>
        <v/>
      </c>
      <c r="B72" s="16" t="inlineStr">
        <is>
          <t>Egeria najas</t>
        </is>
      </c>
      <c r="C72" s="17" t="inlineStr"/>
      <c r="D72" s="17" t="inlineStr">
        <is>
          <t>Seasonal</t>
        </is>
      </c>
    </row>
    <row r="73">
      <c r="A73" s="15">
        <f>HYPERLINK("https://shoreaquatic.com/shop/plant-bbatenl","Baby Tears")</f>
        <v/>
      </c>
      <c r="B73" s="16" t="inlineStr">
        <is>
          <t>Micranthemum glomeratum</t>
        </is>
      </c>
      <c r="C73" s="17" t="inlineStr"/>
      <c r="D73" s="17" t="inlineStr">
        <is>
          <t>In Stock</t>
        </is>
      </c>
    </row>
    <row r="74">
      <c r="A74" s="15">
        <f>HYPERLINK("https://shoreaquatic.com/shop/plant-bbacnl","Bacopa")</f>
        <v/>
      </c>
      <c r="B74" s="16" t="inlineStr">
        <is>
          <t>Bacopa caroliniana</t>
        </is>
      </c>
      <c r="C74" s="17" t="inlineStr"/>
      <c r="D74" s="17" t="inlineStr">
        <is>
          <t>In Stock</t>
        </is>
      </c>
    </row>
    <row r="75">
      <c r="A75" s="15">
        <f>HYPERLINK("https://shoreaquatic.com/shop/plant-bbaaunl","Bacopa Australis")</f>
        <v/>
      </c>
      <c r="B75" s="16" t="inlineStr">
        <is>
          <t>Bacopa australis</t>
        </is>
      </c>
      <c r="C75" s="17" t="inlineStr"/>
      <c r="D75" s="17" t="inlineStr">
        <is>
          <t>Ask / Seasonal</t>
        </is>
      </c>
    </row>
    <row r="76">
      <c r="A76" s="15">
        <f>HYPERLINK("https://shoreaquatic.com/shop/plant-bbapunl","Bacopa, Purple")</f>
        <v/>
      </c>
      <c r="B76" s="16" t="inlineStr">
        <is>
          <t>Bacopa salzmannii 'Purple'</t>
        </is>
      </c>
      <c r="C76" s="17" t="inlineStr"/>
      <c r="D76" s="17" t="inlineStr">
        <is>
          <t>Ask / Seasonal</t>
        </is>
      </c>
    </row>
    <row r="77">
      <c r="A77" s="15">
        <f>HYPERLINK("https://shoreaquatic.com/shop/plant-bcagrnl","Cabomba, Green")</f>
        <v/>
      </c>
      <c r="B77" s="16" t="inlineStr">
        <is>
          <t>Cabomba caroliniana</t>
        </is>
      </c>
      <c r="C77" s="17" t="inlineStr"/>
      <c r="D77" s="17" t="inlineStr">
        <is>
          <t>In Stock</t>
        </is>
      </c>
    </row>
    <row r="78">
      <c r="A78" s="15">
        <f>HYPERLINK("https://shoreaquatic.com/shop/plant-bcapunl","Cabomba, Purple")</f>
        <v/>
      </c>
      <c r="B78" s="16" t="inlineStr">
        <is>
          <t>Cabomba pulcherrima</t>
        </is>
      </c>
      <c r="C78" s="17" t="inlineStr"/>
      <c r="D78" s="17" t="inlineStr">
        <is>
          <t>Ask / Seasonal</t>
        </is>
      </c>
    </row>
    <row r="79">
      <c r="A79" s="15">
        <f>HYPERLINK("https://shoreaquatic.com/shop/plant-bcarnl","Cardamine")</f>
        <v/>
      </c>
      <c r="B79" s="16" t="inlineStr">
        <is>
          <t>Cardamine lyrata</t>
        </is>
      </c>
      <c r="C79" s="17" t="inlineStr"/>
      <c r="D79" s="17" t="inlineStr">
        <is>
          <t>In Stock</t>
        </is>
      </c>
    </row>
    <row r="80">
      <c r="A80" s="15">
        <f>HYPERLINK("https://shoreaquatic.com/shop/plant-bcrchnl","Creeping Charlie")</f>
        <v/>
      </c>
      <c r="B80" s="16" t="inlineStr">
        <is>
          <t>Clinopodium brownei</t>
        </is>
      </c>
      <c r="C80" s="17" t="inlineStr"/>
      <c r="D80" s="17" t="inlineStr">
        <is>
          <t>In Stock</t>
        </is>
      </c>
    </row>
    <row r="81">
      <c r="A81" s="15">
        <f>HYPERLINK("https://shoreaquatic.com/shop/plant-bdianl","Diandra")</f>
        <v/>
      </c>
      <c r="B81" s="16" t="inlineStr">
        <is>
          <t>Didiplis diandra</t>
        </is>
      </c>
      <c r="C81" s="17" t="inlineStr"/>
      <c r="D81" s="17" t="inlineStr">
        <is>
          <t>In Stock</t>
        </is>
      </c>
    </row>
    <row r="82">
      <c r="A82" s="15">
        <f>HYPERLINK("https://shoreaquatic.com/shop/plant-bdrflnl","Dragon Flame")</f>
        <v/>
      </c>
      <c r="B82" s="16" t="inlineStr">
        <is>
          <t>Hemigraphis repanda</t>
        </is>
      </c>
      <c r="C82" s="17" t="inlineStr"/>
      <c r="D82" s="17" t="inlineStr">
        <is>
          <t>Ask / Seasonal</t>
        </is>
      </c>
    </row>
    <row r="83">
      <c r="A83" s="15">
        <f>HYPERLINK("https://shoreaquatic.com/shop/plant-bhechnl","Hedge, Cherry")</f>
        <v/>
      </c>
      <c r="B83" s="16" t="inlineStr">
        <is>
          <t>Alternanthera ficoidea 'Cherry stem'</t>
        </is>
      </c>
      <c r="C83" s="17" t="inlineStr"/>
      <c r="D83" s="17" t="inlineStr">
        <is>
          <t>In Stock</t>
        </is>
      </c>
    </row>
    <row r="84">
      <c r="A84" s="15">
        <f>HYPERLINK("https://shoreaquatic.com/shop/plant-bhegrnl","Hedge, Green")</f>
        <v/>
      </c>
      <c r="B84" s="16" t="inlineStr">
        <is>
          <t>Alternanthera ficoidea</t>
        </is>
      </c>
      <c r="C84" s="17" t="inlineStr"/>
      <c r="D84" s="17" t="inlineStr">
        <is>
          <t>In Stock</t>
        </is>
      </c>
    </row>
    <row r="85">
      <c r="A85" s="15">
        <f>HYPERLINK("https://shoreaquatic.com/shop/plant-bhornl","Hornwort")</f>
        <v/>
      </c>
      <c r="B85" s="16" t="inlineStr">
        <is>
          <t>Ceratophyllum demersum</t>
        </is>
      </c>
      <c r="C85" s="17" t="inlineStr"/>
      <c r="D85" s="17" t="inlineStr">
        <is>
          <t>In Stock</t>
        </is>
      </c>
    </row>
    <row r="86">
      <c r="A86" s="15">
        <f>HYPERLINK("https://shoreaquatic.com/shop/plant-bhyarnl","Hygrophila Araguaia")</f>
        <v/>
      </c>
      <c r="B86" s="16" t="inlineStr">
        <is>
          <t>Hygrophila lancea 'Araguaia'</t>
        </is>
      </c>
      <c r="C86" s="17" t="inlineStr"/>
      <c r="D86" s="17" t="inlineStr">
        <is>
          <t>In Stock</t>
        </is>
      </c>
    </row>
    <row r="87">
      <c r="A87" s="15">
        <f>HYPERLINK("https://shoreaquatic.com/shop/plant-bhypinl","Hygrophila Pinnatifida")</f>
        <v/>
      </c>
      <c r="B87" s="16" t="inlineStr">
        <is>
          <t>Hygrophila pinnatifida</t>
        </is>
      </c>
      <c r="C87" s="17" t="inlineStr"/>
      <c r="D87" s="17" t="inlineStr">
        <is>
          <t>In Stock</t>
        </is>
      </c>
    </row>
    <row r="88">
      <c r="A88" s="15">
        <f>HYPERLINK("https://shoreaquatic.com/shop/plant-bhyannl","Hygrophilia Angustifolia")</f>
        <v/>
      </c>
      <c r="B88" s="16" t="inlineStr">
        <is>
          <t>Hygrophila corymbosa 'Angustifolia'</t>
        </is>
      </c>
      <c r="C88" s="17" t="inlineStr"/>
      <c r="D88" s="17" t="inlineStr">
        <is>
          <t>In Stock</t>
        </is>
      </c>
    </row>
    <row r="89">
      <c r="A89" s="15">
        <f>HYPERLINK("https://shoreaquatic.com/shop/plant-blihinl","Limnophila Hippuridoides")</f>
        <v/>
      </c>
      <c r="B89" s="16" t="inlineStr">
        <is>
          <t>Limnophila 'Hippuridoides'</t>
        </is>
      </c>
      <c r="C89" s="17" t="inlineStr"/>
      <c r="D89" s="17" t="inlineStr">
        <is>
          <t>In Stock</t>
        </is>
      </c>
    </row>
    <row r="90">
      <c r="A90" s="15">
        <f>HYPERLINK("https://shoreaquatic.com/shop/plant-bllonl","Lloydiella")</f>
        <v/>
      </c>
      <c r="B90" s="16" t="inlineStr">
        <is>
          <t>Lysimachia nummularia</t>
        </is>
      </c>
      <c r="C90" s="17" t="inlineStr"/>
      <c r="D90" s="17" t="inlineStr">
        <is>
          <t>In Stock</t>
        </is>
      </c>
    </row>
    <row r="91">
      <c r="A91" s="15">
        <f>HYPERLINK("https://shoreaquatic.com/shop/plant-bllgonl","Lloydiella, Golden")</f>
        <v/>
      </c>
      <c r="B91" s="16" t="inlineStr">
        <is>
          <t>Lysimachia nummularia 'Aurea'</t>
        </is>
      </c>
      <c r="C91" s="17" t="inlineStr"/>
      <c r="D91" s="17" t="inlineStr">
        <is>
          <t>In Stock</t>
        </is>
      </c>
    </row>
    <row r="92">
      <c r="A92" s="15">
        <f>HYPERLINK("https://shoreaquatic.com/shop/plant-bluovnl","Ludwigia Ovalis")</f>
        <v/>
      </c>
      <c r="B92" s="16" t="inlineStr">
        <is>
          <t>Ludwigia ovalis</t>
        </is>
      </c>
      <c r="C92" s="17" t="inlineStr"/>
      <c r="D92" s="17" t="inlineStr">
        <is>
          <t>In Stock</t>
        </is>
      </c>
    </row>
    <row r="93">
      <c r="A93" s="15">
        <f>HYPERLINK("https://shoreaquatic.com/shop/plant-blupenl","Ludwigia Peruensis")</f>
        <v/>
      </c>
      <c r="B93" s="16" t="inlineStr">
        <is>
          <t>Ludwigia glandulosa</t>
        </is>
      </c>
      <c r="C93" s="17" t="inlineStr"/>
      <c r="D93" s="17" t="inlineStr">
        <is>
          <t>In Stock</t>
        </is>
      </c>
    </row>
    <row r="94">
      <c r="A94" s="15">
        <f>HYPERLINK("https://shoreaquatic.com/shop/plant-bluatnl","Ludwigia, Atlantis")</f>
        <v/>
      </c>
      <c r="B94" s="16" t="inlineStr">
        <is>
          <t>Ludwigia repens 'Atlantis'</t>
        </is>
      </c>
      <c r="C94" s="17" t="inlineStr"/>
      <c r="D94" s="17" t="inlineStr">
        <is>
          <t>In Stock</t>
        </is>
      </c>
    </row>
    <row r="95">
      <c r="A95" s="15">
        <f>HYPERLINK("https://shoreaquatic.com/shop/plant-blubrnl","Ludwigia, Broad")</f>
        <v/>
      </c>
      <c r="B95" s="16" t="inlineStr">
        <is>
          <t>Ludwigia repens</t>
        </is>
      </c>
      <c r="C95" s="17" t="inlineStr"/>
      <c r="D95" s="17" t="inlineStr">
        <is>
          <t>In Stock</t>
        </is>
      </c>
    </row>
    <row r="96">
      <c r="A96" s="15">
        <f>HYPERLINK("https://shoreaquatic.com/shop/plant-blucunl","Ludwigia, Cuban")</f>
        <v/>
      </c>
      <c r="B96" s="16" t="inlineStr">
        <is>
          <t>Ludwigia inclinata var. verticillata 'Cuba'</t>
        </is>
      </c>
      <c r="C96" s="17" t="inlineStr"/>
      <c r="D96" s="17" t="inlineStr">
        <is>
          <t>In Stock</t>
        </is>
      </c>
    </row>
    <row r="97">
      <c r="A97" s="15">
        <f>HYPERLINK("https://shoreaquatic.com/shop/plant-blunanl","Ludwigia, Narrow")</f>
        <v/>
      </c>
      <c r="B97" s="16" t="inlineStr">
        <is>
          <t>Ludwigia palustris</t>
        </is>
      </c>
      <c r="C97" s="17" t="inlineStr"/>
      <c r="D97" s="17" t="inlineStr">
        <is>
          <t>In Stock</t>
        </is>
      </c>
    </row>
    <row r="98">
      <c r="A98" s="15">
        <f>HYPERLINK("https://shoreaquatic.com/shop/plant-blunenl","Ludwigia, Needle Leaf")</f>
        <v/>
      </c>
      <c r="B98" s="16" t="inlineStr">
        <is>
          <t>Ludwigia arcuata</t>
        </is>
      </c>
      <c r="C98" s="17" t="inlineStr"/>
      <c r="D98" s="17" t="inlineStr">
        <is>
          <t>In Stock</t>
        </is>
      </c>
    </row>
    <row r="99">
      <c r="A99" s="15">
        <f>HYPERLINK("https://shoreaquatic.com/shop/plant-bluresknl","Ludwigia, Red Skeleton")</f>
        <v/>
      </c>
      <c r="B99" s="16" t="inlineStr">
        <is>
          <t>Ludwigia repens 'Red Skeleton'</t>
        </is>
      </c>
      <c r="C99" s="17" t="inlineStr"/>
      <c r="D99" s="17" t="inlineStr">
        <is>
          <t>In Stock</t>
        </is>
      </c>
    </row>
    <row r="100">
      <c r="A100" s="15">
        <f>HYPERLINK("https://shoreaquatic.com/shop/plant-blusurenl","Ludwigia, Super Red")</f>
        <v/>
      </c>
      <c r="B100" s="16" t="inlineStr">
        <is>
          <t>Ludwigia palustris 'Super Red'</t>
        </is>
      </c>
      <c r="C100" s="17" t="inlineStr"/>
      <c r="D100" s="17" t="inlineStr">
        <is>
          <t>Ask / Seasonal</t>
        </is>
      </c>
    </row>
    <row r="101">
      <c r="A101" s="15">
        <f>HYPERLINK("https://shoreaquatic.com/shop/plant-bluwhnl","Ludwigia, White")</f>
        <v/>
      </c>
      <c r="B101" s="16" t="inlineStr">
        <is>
          <t>Ludwigia inclinata var verticillata 'White'</t>
        </is>
      </c>
      <c r="C101" s="17" t="inlineStr"/>
      <c r="D101" s="17" t="inlineStr">
        <is>
          <t>In Stock</t>
        </is>
      </c>
    </row>
    <row r="102">
      <c r="A102" s="15">
        <f>HYPERLINK("https://shoreaquatic.com/shop/plant-bmaynl","Mayaca")</f>
        <v/>
      </c>
      <c r="B102" s="16" t="inlineStr">
        <is>
          <t>Mayaca fluviatilis</t>
        </is>
      </c>
      <c r="C102" s="17" t="inlineStr"/>
      <c r="D102" s="17" t="inlineStr">
        <is>
          <t>Ask / Seasonal</t>
        </is>
      </c>
    </row>
    <row r="103">
      <c r="A103" s="15">
        <f>HYPERLINK("https://shoreaquatic.com/shop/plant-bmeoanl","Mexican Oak Leaf")</f>
        <v/>
      </c>
      <c r="B103" s="16" t="inlineStr">
        <is>
          <t>Shinnersia rivularis</t>
        </is>
      </c>
      <c r="C103" s="17" t="inlineStr"/>
      <c r="D103" s="17" t="inlineStr">
        <is>
          <t>In Stock</t>
        </is>
      </c>
    </row>
    <row r="104">
      <c r="A104" s="15">
        <f>HYPERLINK("https://shoreaquatic.com/shop/plant-bmonnl","Moneywort")</f>
        <v/>
      </c>
      <c r="B104" s="16" t="inlineStr">
        <is>
          <t>Bacopa monnieri</t>
        </is>
      </c>
      <c r="C104" s="17" t="inlineStr"/>
      <c r="D104" s="17" t="inlineStr">
        <is>
          <t>In Stock</t>
        </is>
      </c>
    </row>
    <row r="105">
      <c r="A105" s="15">
        <f>HYPERLINK("https://shoreaquatic.com/shop/plant-bmyfinl","Myrio, Filigree")</f>
        <v/>
      </c>
      <c r="B105" s="16" t="inlineStr">
        <is>
          <t>Myriophyllum simulans</t>
        </is>
      </c>
      <c r="C105" s="17" t="inlineStr"/>
      <c r="D105" s="17" t="inlineStr">
        <is>
          <t>In Stock</t>
        </is>
      </c>
    </row>
    <row r="106">
      <c r="A106" s="15">
        <f>HYPERLINK("https://shoreaquatic.com/shop/plant-bmygrnl","Myrio, Green")</f>
        <v/>
      </c>
      <c r="B106" s="16" t="inlineStr">
        <is>
          <t>Myriophyllum pinnatum</t>
        </is>
      </c>
      <c r="C106" s="17" t="inlineStr"/>
      <c r="D106" s="17" t="inlineStr">
        <is>
          <t>In Stock</t>
        </is>
      </c>
    </row>
    <row r="107">
      <c r="A107" s="15">
        <f>HYPERLINK("https://shoreaquatic.com/shop/plant-bmyrenl","Myrio, Rednesaea, Golden")</f>
        <v/>
      </c>
      <c r="B107" s="16" t="inlineStr">
        <is>
          <t>Myriophyllum heterophyllum</t>
        </is>
      </c>
      <c r="C107" s="17" t="inlineStr"/>
      <c r="D107" s="17" t="inlineStr">
        <is>
          <t>In Stock</t>
        </is>
      </c>
    </row>
    <row r="108">
      <c r="A108" s="15">
        <f>HYPERLINK("https://shoreaquatic.com/shop/plant-bpafenl","Parrot'S Feather")</f>
        <v/>
      </c>
      <c r="B108" s="16" t="inlineStr">
        <is>
          <t>Myriophyllum aquaticum</t>
        </is>
      </c>
      <c r="C108" s="17" t="inlineStr"/>
      <c r="D108" s="17" t="inlineStr">
        <is>
          <t>In Stock</t>
        </is>
      </c>
    </row>
    <row r="109">
      <c r="A109" s="15">
        <f>HYPERLINK("https://shoreaquatic.com/shop/plant-bpennl","Pennywort")</f>
        <v/>
      </c>
      <c r="B109" s="16" t="inlineStr">
        <is>
          <t>Hydrocotyle leucocephala</t>
        </is>
      </c>
      <c r="C109" s="17" t="inlineStr"/>
      <c r="D109" s="17" t="inlineStr">
        <is>
          <t>Ask / Seasonal</t>
        </is>
      </c>
    </row>
    <row r="110">
      <c r="A110" s="15">
        <f>HYPERLINK("https://shoreaquatic.com/shop/plant-bpodanl","Pogostemon Dassen")</f>
        <v/>
      </c>
      <c r="B110" s="16" t="inlineStr">
        <is>
          <t>Pogostemon stellatus 'Dassen'</t>
        </is>
      </c>
      <c r="C110" s="17" t="inlineStr"/>
      <c r="D110" s="17" t="inlineStr">
        <is>
          <t>Ask / Seasonal</t>
        </is>
      </c>
    </row>
    <row r="111">
      <c r="A111" s="15">
        <f>HYPERLINK("https://shoreaquatic.com/shop/plant-bpoernl","Pogostemon Erectus")</f>
        <v/>
      </c>
      <c r="B111" s="16" t="inlineStr">
        <is>
          <t>Pogostemon erectus</t>
        </is>
      </c>
      <c r="C111" s="17" t="inlineStr"/>
      <c r="D111" s="17" t="inlineStr">
        <is>
          <t>Ask / Seasonal</t>
        </is>
      </c>
    </row>
    <row r="112">
      <c r="A112" s="15">
        <f>HYPERLINK("https://shoreaquatic.com/shop/plant-bprpanl","Proserpinaca Palustris")</f>
        <v/>
      </c>
      <c r="B112" s="16" t="inlineStr">
        <is>
          <t>Proserpinaca palustris</t>
        </is>
      </c>
      <c r="C112" s="17" t="inlineStr"/>
      <c r="D112" s="17" t="inlineStr">
        <is>
          <t>Ask / Seasonal</t>
        </is>
      </c>
    </row>
    <row r="113">
      <c r="A113" s="15">
        <f>HYPERLINK("https://shoreaquatic.com/shop/plant-bpuwanl","Purple Waffle")</f>
        <v/>
      </c>
      <c r="B113" s="16" t="inlineStr">
        <is>
          <t>Hemigraphis exotica</t>
        </is>
      </c>
      <c r="C113" s="17" t="inlineStr"/>
      <c r="D113" s="17" t="inlineStr">
        <is>
          <t>Ask / Seasonal</t>
        </is>
      </c>
    </row>
    <row r="114">
      <c r="A114" s="15">
        <f>HYPERLINK("https://shoreaquatic.com/shop/plant-broflnl","Rotala Florida")</f>
        <v/>
      </c>
      <c r="B114" s="16" t="inlineStr">
        <is>
          <t>Rotala ramosior 'Florida'</t>
        </is>
      </c>
      <c r="C114" s="17" t="inlineStr"/>
      <c r="D114" s="17" t="inlineStr">
        <is>
          <t>Ask / Seasonal</t>
        </is>
      </c>
    </row>
    <row r="115">
      <c r="A115" s="15">
        <f>HYPERLINK("https://shoreaquatic.com/shop/plant-brohrnl","Rotala H'Ra")</f>
        <v/>
      </c>
      <c r="B115" s="16" t="inlineStr">
        <is>
          <t>Rotala rotundifolia 'H'ra'</t>
        </is>
      </c>
      <c r="C115" s="17" t="inlineStr"/>
      <c r="D115" s="17" t="inlineStr">
        <is>
          <t>Ask / Seasonal</t>
        </is>
      </c>
    </row>
    <row r="116">
      <c r="A116" s="15">
        <f>HYPERLINK("https://shoreaquatic.com/shop/plant-broinnl","Rotala Indica")</f>
        <v/>
      </c>
      <c r="B116" s="16" t="inlineStr">
        <is>
          <t>Rotala rotundifolia</t>
        </is>
      </c>
      <c r="C116" s="17" t="inlineStr"/>
      <c r="D116" s="17" t="inlineStr">
        <is>
          <t>In Stock</t>
        </is>
      </c>
    </row>
    <row r="117">
      <c r="A117" s="15">
        <f>HYPERLINK("https://shoreaquatic.com/shop/plant-bromacnl","Rotala Macrandra")</f>
        <v/>
      </c>
      <c r="B117" s="16" t="inlineStr">
        <is>
          <t>Rotala macrandra</t>
        </is>
      </c>
      <c r="C117" s="17" t="inlineStr"/>
      <c r="D117" s="17" t="inlineStr">
        <is>
          <t>Seasonal</t>
        </is>
      </c>
    </row>
    <row r="118">
      <c r="A118" s="15">
        <f>HYPERLINK("https://shoreaquatic.com/shop/plant-bromagnl","Rotala Magenta")</f>
        <v/>
      </c>
      <c r="B118" s="16" t="inlineStr">
        <is>
          <t>Rotala macrandra 'Narrow Leaf'</t>
        </is>
      </c>
      <c r="C118" s="17" t="inlineStr"/>
      <c r="D118" s="17" t="inlineStr">
        <is>
          <t>In Stock</t>
        </is>
      </c>
    </row>
    <row r="119">
      <c r="A119" s="15">
        <f>HYPERLINK("https://shoreaquatic.com/shop/plant-bronanl","Rotala Nanjenshan")</f>
        <v/>
      </c>
      <c r="B119" s="16" t="inlineStr">
        <is>
          <t>Rotala nanjenshan</t>
        </is>
      </c>
      <c r="C119" s="17" t="inlineStr"/>
      <c r="D119" s="17" t="inlineStr">
        <is>
          <t>Ask / Seasonal</t>
        </is>
      </c>
    </row>
    <row r="120">
      <c r="A120" s="15">
        <f>HYPERLINK("https://shoreaquatic.com/shop/plant-broorjunl","Rotala Orange Juice")</f>
        <v/>
      </c>
      <c r="B120" s="16" t="inlineStr">
        <is>
          <t>Rotala rotundifolia 'Orange Juice'</t>
        </is>
      </c>
      <c r="C120" s="17" t="inlineStr"/>
      <c r="D120" s="17" t="inlineStr">
        <is>
          <t>Ask / Seasonal</t>
        </is>
      </c>
    </row>
    <row r="121">
      <c r="A121" s="15">
        <f>HYPERLINK("https://shoreaquatic.com/shop/plant-browanl","Rotala Wallichii")</f>
        <v/>
      </c>
      <c r="B121" s="16" t="inlineStr">
        <is>
          <t>Rotala wallichii</t>
        </is>
      </c>
      <c r="C121" s="17" t="inlineStr"/>
      <c r="D121" s="17" t="inlineStr">
        <is>
          <t>Ask / Seasonal</t>
        </is>
      </c>
    </row>
    <row r="122">
      <c r="A122" s="15">
        <f>HYPERLINK("https://shoreaquatic.com/shop/plant-btelnl","Telanthera")</f>
        <v/>
      </c>
      <c r="B122" s="16" t="inlineStr">
        <is>
          <t>Alternanthera reineckii 'Rosaefolia'</t>
        </is>
      </c>
      <c r="C122" s="17" t="inlineStr"/>
      <c r="D122" s="17" t="inlineStr">
        <is>
          <t>In Stock</t>
        </is>
      </c>
    </row>
    <row r="123">
      <c r="A123" s="15">
        <f>HYPERLINK("https://shoreaquatic.com/shop/plant-bteronl","Telanthera Rosanervig")</f>
        <v/>
      </c>
      <c r="B123" s="16" t="inlineStr">
        <is>
          <t>Alternanthera reineckii 'Rosanervig'</t>
        </is>
      </c>
      <c r="C123" s="17" t="inlineStr"/>
      <c r="D123" s="17" t="inlineStr">
        <is>
          <t>In Stock</t>
        </is>
      </c>
    </row>
    <row r="124">
      <c r="A124" s="15">
        <f>HYPERLINK("https://shoreaquatic.com/shop/plant-btemnl","Temple")</f>
        <v/>
      </c>
      <c r="B124" s="16" t="inlineStr">
        <is>
          <t>Hygrophila corymbosa</t>
        </is>
      </c>
      <c r="C124" s="17" t="inlineStr"/>
      <c r="D124" s="17" t="inlineStr">
        <is>
          <t>In Stock</t>
        </is>
      </c>
    </row>
    <row r="125">
      <c r="A125" s="15">
        <f>HYPERLINK("https://shoreaquatic.com/shop/plant-btenanl","Temple Narrow")</f>
        <v/>
      </c>
      <c r="B125" s="16" t="inlineStr">
        <is>
          <t>Hygrophila corymbosa 'Siamensis'</t>
        </is>
      </c>
      <c r="C125" s="17" t="inlineStr"/>
      <c r="D125" s="17" t="inlineStr">
        <is>
          <t>In Stock</t>
        </is>
      </c>
    </row>
    <row r="126">
      <c r="A126" s="15">
        <f>HYPERLINK("https://shoreaquatic.com/shop/plant-btevanl","Temple Variegated")</f>
        <v/>
      </c>
      <c r="B126" s="16" t="inlineStr">
        <is>
          <t>Hygrophila corymbosa 'Variegata'</t>
        </is>
      </c>
      <c r="C126" s="17" t="inlineStr"/>
      <c r="D126" s="17" t="inlineStr">
        <is>
          <t>In Stock</t>
        </is>
      </c>
    </row>
    <row r="127">
      <c r="A127" s="15">
        <f>HYPERLINK("https://shoreaquatic.com/shop/plant-bwisnl","Wisteria")</f>
        <v/>
      </c>
      <c r="B127" s="16" t="inlineStr">
        <is>
          <t>Hygrophila difformis</t>
        </is>
      </c>
      <c r="C127" s="17" t="inlineStr"/>
      <c r="D127" s="17" t="inlineStr">
        <is>
          <t>Ask / Seasonal</t>
        </is>
      </c>
    </row>
    <row r="128">
      <c r="A128" s="14" t="inlineStr">
        <is>
          <t xml:space="preserve">  Cryptocoryne  (78)</t>
        </is>
      </c>
    </row>
    <row r="129">
      <c r="A129" s="15">
        <f>HYPERLINK("https://shoreaquatic.com/shop/plant-pancofl","Anubias Coffeefolia")</f>
        <v/>
      </c>
      <c r="B129" s="16" t="inlineStr">
        <is>
          <t>Anubias barteri 'Coffeefolia'</t>
        </is>
      </c>
      <c r="C129" s="17" t="inlineStr">
        <is>
          <t>Large</t>
        </is>
      </c>
      <c r="D129" s="17" t="inlineStr">
        <is>
          <t>Seasonal</t>
        </is>
      </c>
    </row>
    <row r="130">
      <c r="A130" s="15">
        <f>HYPERLINK("https://shoreaquatic.com/shop/plant-pancon","Anubias Congensis")</f>
        <v/>
      </c>
      <c r="B130" s="16" t="inlineStr">
        <is>
          <t>Anubias afzelii</t>
        </is>
      </c>
      <c r="C130" s="17" t="inlineStr"/>
      <c r="D130" s="17" t="inlineStr">
        <is>
          <t>Ask / Seasonal</t>
        </is>
      </c>
    </row>
    <row r="131">
      <c r="A131" s="15">
        <f>HYPERLINK("https://shoreaquatic.com/shop/plant-panconl","Anubias Congensis")</f>
        <v/>
      </c>
      <c r="B131" s="16" t="inlineStr">
        <is>
          <t>Anubias afzelii</t>
        </is>
      </c>
      <c r="C131" s="17" t="inlineStr">
        <is>
          <t>Large</t>
        </is>
      </c>
      <c r="D131" s="17" t="inlineStr">
        <is>
          <t>In Stock</t>
        </is>
      </c>
    </row>
    <row r="132">
      <c r="A132" s="15">
        <f>HYPERLINK("https://shoreaquatic.com/shop/plant-panfr","Anubias Frazeri")</f>
        <v/>
      </c>
      <c r="B132" s="16" t="inlineStr">
        <is>
          <t>Anubias 'Frazeri'</t>
        </is>
      </c>
      <c r="C132" s="17" t="inlineStr"/>
      <c r="D132" s="17" t="inlineStr">
        <is>
          <t>Ask / Seasonal</t>
        </is>
      </c>
    </row>
    <row r="133">
      <c r="A133" s="15">
        <f>HYPERLINK("https://shoreaquatic.com/shop/plant-panfrl","Anubias Frazeri")</f>
        <v/>
      </c>
      <c r="B133" s="16" t="inlineStr">
        <is>
          <t>Anubias 'Frazeri'</t>
        </is>
      </c>
      <c r="C133" s="17" t="inlineStr">
        <is>
          <t>Large</t>
        </is>
      </c>
      <c r="D133" s="17" t="inlineStr">
        <is>
          <t>Ask / Seasonal</t>
        </is>
      </c>
    </row>
    <row r="134">
      <c r="A134" s="15">
        <f>HYPERLINK("https://shoreaquatic.com/shop/plant-panha","Anubias Hastifolia")</f>
        <v/>
      </c>
      <c r="B134" s="16" t="inlineStr">
        <is>
          <t>Anubias hastifolia</t>
        </is>
      </c>
      <c r="C134" s="17" t="inlineStr"/>
      <c r="D134" s="17" t="inlineStr">
        <is>
          <t>In Stock</t>
        </is>
      </c>
    </row>
    <row r="135">
      <c r="A135" s="15">
        <f>HYPERLINK("https://shoreaquatic.com/shop/plant-panhal","Anubias Hastifolia")</f>
        <v/>
      </c>
      <c r="B135" s="16" t="inlineStr">
        <is>
          <t>Anubias hastifolia</t>
        </is>
      </c>
      <c r="C135" s="17" t="inlineStr">
        <is>
          <t>Large</t>
        </is>
      </c>
      <c r="D135" s="17" t="inlineStr">
        <is>
          <t>Ask / Seasonal</t>
        </is>
      </c>
    </row>
    <row r="136">
      <c r="A136" s="15">
        <f>HYPERLINK("https://shoreaquatic.com/shop/plant-panla","Anubias Lanceolata")</f>
        <v/>
      </c>
      <c r="B136" s="16" t="inlineStr">
        <is>
          <t>Anubias barteri var. 'Angustifolia'</t>
        </is>
      </c>
      <c r="C136" s="17" t="inlineStr"/>
      <c r="D136" s="17" t="inlineStr">
        <is>
          <t>Ask / Seasonal</t>
        </is>
      </c>
    </row>
    <row r="137">
      <c r="A137" s="15">
        <f>HYPERLINK("https://shoreaquatic.com/shop/plant-panna","Anubias Nana")</f>
        <v/>
      </c>
      <c r="B137" s="16" t="inlineStr">
        <is>
          <t>Anubias barteri var. nana</t>
        </is>
      </c>
      <c r="C137" s="17" t="inlineStr"/>
      <c r="D137" s="17" t="inlineStr">
        <is>
          <t>In Stock</t>
        </is>
      </c>
    </row>
    <row r="138">
      <c r="A138" s="15">
        <f>HYPERLINK("https://shoreaquatic.com/shop/plant-pannal","Anubias Nana")</f>
        <v/>
      </c>
      <c r="B138" s="16" t="inlineStr">
        <is>
          <t>Anubias barteri var. nana</t>
        </is>
      </c>
      <c r="C138" s="17" t="inlineStr">
        <is>
          <t>Large</t>
        </is>
      </c>
      <c r="D138" s="17" t="inlineStr">
        <is>
          <t>Seasonal</t>
        </is>
      </c>
    </row>
    <row r="139">
      <c r="A139" s="15">
        <f>HYPERLINK("https://shoreaquatic.com/shop/plant-pannanl","Anubias Nana Narrow Leaf")</f>
        <v/>
      </c>
      <c r="B139" s="16" t="inlineStr">
        <is>
          <t>Anubias barteri var. nana 'Narrow Leaf'</t>
        </is>
      </c>
      <c r="C139" s="17" t="inlineStr"/>
      <c r="D139" s="17" t="inlineStr">
        <is>
          <t>In Stock</t>
        </is>
      </c>
    </row>
    <row r="140">
      <c r="A140" s="15">
        <f>HYPERLINK("https://shoreaquatic.com/shop/plant-pannape","Anubias Nana Petite")</f>
        <v/>
      </c>
      <c r="B140" s="16" t="inlineStr">
        <is>
          <t>Anubias barteri var. nana 'Petite'</t>
        </is>
      </c>
      <c r="C140" s="17" t="inlineStr"/>
      <c r="D140" s="17" t="inlineStr">
        <is>
          <t>Ask / Seasonal</t>
        </is>
      </c>
    </row>
    <row r="141">
      <c r="A141" s="15">
        <f>HYPERLINK("https://shoreaquatic.com/shop/plant-pannanc","Anubias Nancon")</f>
        <v/>
      </c>
      <c r="B141" s="16" t="inlineStr">
        <is>
          <t>Anubias 'Nancon'</t>
        </is>
      </c>
      <c r="C141" s="17" t="inlineStr"/>
      <c r="D141" s="17" t="inlineStr">
        <is>
          <t>In Stock</t>
        </is>
      </c>
    </row>
    <row r="142">
      <c r="A142" s="15">
        <f>HYPERLINK("https://shoreaquatic.com/shop/plant-pannancl","Anubias Nancon")</f>
        <v/>
      </c>
      <c r="B142" s="16" t="inlineStr">
        <is>
          <t>Anubias 'Nancon'</t>
        </is>
      </c>
      <c r="C142" s="17" t="inlineStr">
        <is>
          <t>Large</t>
        </is>
      </c>
      <c r="D142" s="17" t="inlineStr">
        <is>
          <t>Ask / Seasonal</t>
        </is>
      </c>
    </row>
    <row r="143">
      <c r="A143" s="15">
        <f>HYPERLINK("https://shoreaquatic.com/shop/plant-pannang","Anubias Nangi")</f>
        <v/>
      </c>
      <c r="B143" s="16" t="inlineStr">
        <is>
          <t>Anubias 'Nangi'</t>
        </is>
      </c>
      <c r="C143" s="17" t="inlineStr"/>
      <c r="D143" s="17" t="inlineStr">
        <is>
          <t>Ask / Seasonal</t>
        </is>
      </c>
    </row>
    <row r="144">
      <c r="A144" s="15">
        <f>HYPERLINK("https://shoreaquatic.com/shop/plant-capo","Aponogetifolia")</f>
        <v/>
      </c>
      <c r="B144" s="16" t="inlineStr">
        <is>
          <t>Cryptocoryne aponogetifolia</t>
        </is>
      </c>
      <c r="C144" s="17" t="inlineStr"/>
      <c r="D144" s="17" t="inlineStr">
        <is>
          <t>Ask / Seasonal</t>
        </is>
      </c>
    </row>
    <row r="145">
      <c r="A145" s="15">
        <f>HYPERLINK("https://shoreaquatic.com/shop/plant-pbate","Baby Tears 6-24")</f>
        <v/>
      </c>
      <c r="B145" s="16" t="inlineStr">
        <is>
          <t>Micranthemum glomeratum</t>
        </is>
      </c>
      <c r="C145" s="17" t="inlineStr"/>
      <c r="D145" s="17" t="inlineStr">
        <is>
          <t>In Stock</t>
        </is>
      </c>
    </row>
    <row r="146">
      <c r="A146" s="15">
        <f>HYPERLINK("https://shoreaquatic.com/shop/plant-pbated","Baby Tears, Dwarf 6-24")</f>
        <v/>
      </c>
      <c r="B146" s="16" t="inlineStr">
        <is>
          <t>Micranthemum callitrichoides</t>
        </is>
      </c>
      <c r="C146" s="17" t="inlineStr"/>
      <c r="D146" s="17" t="inlineStr">
        <is>
          <t>In Stock</t>
        </is>
      </c>
    </row>
    <row r="147">
      <c r="A147" s="15">
        <f>HYPERLINK("https://shoreaquatic.com/shop/plant-cbalm","Balansae")</f>
        <v/>
      </c>
      <c r="B147" s="16" t="inlineStr">
        <is>
          <t>Cryptocoryne crispatula var. balansae</t>
        </is>
      </c>
      <c r="C147" s="17" t="inlineStr">
        <is>
          <t>Medium</t>
        </is>
      </c>
      <c r="D147" s="17" t="inlineStr">
        <is>
          <t>Ask / Seasonal</t>
        </is>
      </c>
    </row>
    <row r="148">
      <c r="A148" s="15">
        <f>HYPERLINK("https://shoreaquatic.com/shop/plant-cball","Balansae")</f>
        <v/>
      </c>
      <c r="B148" s="16" t="inlineStr">
        <is>
          <t>Cryptocoryne crispatula var. balansae</t>
        </is>
      </c>
      <c r="C148" s="17" t="inlineStr">
        <is>
          <t>Large</t>
        </is>
      </c>
      <c r="D148" s="17" t="inlineStr">
        <is>
          <t>Seasonal</t>
        </is>
      </c>
    </row>
    <row r="149">
      <c r="A149" s="15">
        <f>HYPERLINK("https://shoreaquatic.com/shop/plant-cbalx","Balansae")</f>
        <v/>
      </c>
      <c r="B149" s="16" t="inlineStr">
        <is>
          <t>Cryptocoryne crispatula var. balansae</t>
        </is>
      </c>
      <c r="C149" s="17" t="inlineStr">
        <is>
          <t>X-Large</t>
        </is>
      </c>
      <c r="D149" s="17" t="inlineStr">
        <is>
          <t>Seasonal</t>
        </is>
      </c>
    </row>
    <row r="150">
      <c r="A150" s="15">
        <f>HYPERLINK("https://shoreaquatic.com/shop/plant-cblam","Blassii")</f>
        <v/>
      </c>
      <c r="B150" s="16" t="inlineStr">
        <is>
          <t>Cryptocoryne blassii</t>
        </is>
      </c>
      <c r="C150" s="17" t="inlineStr">
        <is>
          <t>Medium</t>
        </is>
      </c>
      <c r="D150" s="17" t="inlineStr">
        <is>
          <t>Seasonal</t>
        </is>
      </c>
    </row>
    <row r="151">
      <c r="A151" s="15">
        <f>HYPERLINK("https://shoreaquatic.com/shop/plant-cblal","Blassii")</f>
        <v/>
      </c>
      <c r="B151" s="16" t="inlineStr">
        <is>
          <t>Cryptocoryne blassii</t>
        </is>
      </c>
      <c r="C151" s="17" t="inlineStr">
        <is>
          <t>Large</t>
        </is>
      </c>
      <c r="D151" s="17" t="inlineStr">
        <is>
          <t>Seasonal</t>
        </is>
      </c>
    </row>
    <row r="152">
      <c r="A152" s="15">
        <f>HYPERLINK("https://shoreaquatic.com/shop/plant-cblax","Blassii")</f>
        <v/>
      </c>
      <c r="B152" s="16" t="inlineStr">
        <is>
          <t>Cryptocoryne blassii</t>
        </is>
      </c>
      <c r="C152" s="17" t="inlineStr">
        <is>
          <t>X-Large</t>
        </is>
      </c>
      <c r="D152" s="17" t="inlineStr">
        <is>
          <t>Seasonal</t>
        </is>
      </c>
    </row>
    <row r="153">
      <c r="A153" s="15">
        <f>HYPERLINK("https://shoreaquatic.com/shop/plant-pbugod","Bucephalandra 'Godzilla'")</f>
        <v/>
      </c>
      <c r="B153" s="16" t="inlineStr">
        <is>
          <t>Bucephalandra 'Godzilla'</t>
        </is>
      </c>
      <c r="C153" s="17" t="inlineStr"/>
      <c r="D153" s="17" t="inlineStr">
        <is>
          <t>Seasonal</t>
        </is>
      </c>
    </row>
    <row r="154">
      <c r="A154" s="15">
        <f>HYPERLINK("https://shoreaquatic.com/shop/plant-pbugrw","Bucephalandra 'Green Wavy'")</f>
        <v/>
      </c>
      <c r="B154" s="16" t="inlineStr">
        <is>
          <t>Bucephalandra 'Green Wavy'</t>
        </is>
      </c>
      <c r="C154" s="17" t="inlineStr"/>
      <c r="D154" s="17" t="inlineStr">
        <is>
          <t>Seasonal</t>
        </is>
      </c>
    </row>
    <row r="155">
      <c r="A155" s="15">
        <f>HYPERLINK("https://shoreaquatic.com/shop/plant-pburemi","Bucephalandra 'Red Mini'")</f>
        <v/>
      </c>
      <c r="B155" s="16" t="inlineStr">
        <is>
          <t>Bucephalandra 'Red Mini'</t>
        </is>
      </c>
      <c r="C155" s="17" t="inlineStr"/>
      <c r="D155" s="17" t="inlineStr">
        <is>
          <t>Seasonal</t>
        </is>
      </c>
    </row>
    <row r="156">
      <c r="A156" s="15">
        <f>HYPERLINK("https://shoreaquatic.com/shop/plant-pcrlux","C. Lutea")</f>
        <v/>
      </c>
      <c r="B156" s="16" t="inlineStr">
        <is>
          <t>Cryptocoryne lutea</t>
        </is>
      </c>
      <c r="C156" s="17" t="inlineStr">
        <is>
          <t>X-Large</t>
        </is>
      </c>
      <c r="D156" s="17" t="inlineStr">
        <is>
          <t>Seasonal</t>
        </is>
      </c>
    </row>
    <row r="157">
      <c r="A157" s="15">
        <f>HYPERLINK("https://shoreaquatic.com/shop/plant-pcrlu","C. Lutea 6-24")</f>
        <v/>
      </c>
      <c r="B157" s="16" t="inlineStr">
        <is>
          <t>Cryptocoryne lutea</t>
        </is>
      </c>
      <c r="C157" s="17" t="inlineStr"/>
      <c r="D157" s="17" t="inlineStr">
        <is>
          <t>In Stock</t>
        </is>
      </c>
    </row>
    <row r="158">
      <c r="A158" s="15">
        <f>HYPERLINK("https://shoreaquatic.com/shop/plant-pcrpa","C. Parva 6-24")</f>
        <v/>
      </c>
      <c r="B158" s="16" t="inlineStr">
        <is>
          <t>Cryptocoryne parva</t>
        </is>
      </c>
      <c r="C158" s="17" t="inlineStr"/>
      <c r="D158" s="17" t="inlineStr">
        <is>
          <t>In Stock</t>
        </is>
      </c>
    </row>
    <row r="159">
      <c r="A159" s="15">
        <f>HYPERLINK("https://shoreaquatic.com/shop/plant-pcrsp","C. Spiralis 6-24")</f>
        <v/>
      </c>
      <c r="B159" s="16" t="inlineStr">
        <is>
          <t>Cryptocoryne spiralis</t>
        </is>
      </c>
      <c r="C159" s="17" t="inlineStr"/>
      <c r="D159" s="17" t="inlineStr">
        <is>
          <t>Ask / Seasonal</t>
        </is>
      </c>
    </row>
    <row r="160">
      <c r="A160" s="15">
        <f>HYPERLINK("https://shoreaquatic.com/shop/plant-pcrunx","C. Undulata")</f>
        <v/>
      </c>
      <c r="B160" s="16" t="inlineStr">
        <is>
          <t>Cryptocoryne undulata</t>
        </is>
      </c>
      <c r="C160" s="17" t="inlineStr">
        <is>
          <t>X-Large</t>
        </is>
      </c>
      <c r="D160" s="17" t="inlineStr">
        <is>
          <t>Seasonal</t>
        </is>
      </c>
    </row>
    <row r="161">
      <c r="A161" s="15">
        <f>HYPERLINK("https://shoreaquatic.com/shop/plant-pcrun","C. Undulata 6-24")</f>
        <v/>
      </c>
      <c r="B161" s="16" t="inlineStr">
        <is>
          <t>Cryptocoryne undulata</t>
        </is>
      </c>
      <c r="C161" s="17" t="inlineStr"/>
      <c r="D161" s="17" t="inlineStr">
        <is>
          <t>In Stock</t>
        </is>
      </c>
    </row>
    <row r="162">
      <c r="A162" s="15">
        <f>HYPERLINK("https://shoreaquatic.com/shop/plant-pcrweg","C. Wendti-Green 6-24")</f>
        <v/>
      </c>
      <c r="B162" s="16" t="inlineStr">
        <is>
          <t>Cryptocoryne wendtii 'Green'</t>
        </is>
      </c>
      <c r="C162" s="17" t="inlineStr"/>
      <c r="D162" s="17" t="inlineStr">
        <is>
          <t>Ask / Seasonal</t>
        </is>
      </c>
    </row>
    <row r="163">
      <c r="A163" s="15">
        <f>HYPERLINK("https://shoreaquatic.com/shop/plant-pcrwefl","C. Wendtii 'Fl. Sunset'")</f>
        <v/>
      </c>
      <c r="B163" s="16" t="inlineStr">
        <is>
          <t>Cryptocoryne wendtii 'Florida Sunset'</t>
        </is>
      </c>
      <c r="C163" s="17" t="inlineStr"/>
      <c r="D163" s="17" t="inlineStr">
        <is>
          <t>Ask / Seasonal</t>
        </is>
      </c>
    </row>
    <row r="164">
      <c r="A164" s="15">
        <f>HYPERLINK("https://shoreaquatic.com/shop/plant-pcrwebx","C. Wendtii, Bronze")</f>
        <v/>
      </c>
      <c r="B164" s="16" t="inlineStr">
        <is>
          <t>Cryptocoryne wendtii 'Tropica'</t>
        </is>
      </c>
      <c r="C164" s="17" t="inlineStr">
        <is>
          <t>X-Large</t>
        </is>
      </c>
      <c r="D164" s="17" t="inlineStr">
        <is>
          <t>Seasonal</t>
        </is>
      </c>
    </row>
    <row r="165">
      <c r="A165" s="15">
        <f>HYPERLINK("https://shoreaquatic.com/shop/plant-pcrweb","C. Wendtii, Bronze 6-24")</f>
        <v/>
      </c>
      <c r="B165" s="16" t="inlineStr">
        <is>
          <t>Cryptocoryne wendtii 'Tropica'</t>
        </is>
      </c>
      <c r="C165" s="17" t="inlineStr"/>
      <c r="D165" s="17" t="inlineStr">
        <is>
          <t>In Stock</t>
        </is>
      </c>
    </row>
    <row r="166">
      <c r="A166" s="15">
        <f>HYPERLINK("https://shoreaquatic.com/shop/plant-pcrwefla","C. Wendtii, Flamingo 6-24")</f>
        <v/>
      </c>
      <c r="B166" s="16" t="inlineStr">
        <is>
          <t>Cryptocoryne wendtii 'Flamingo'</t>
        </is>
      </c>
      <c r="C166" s="17" t="inlineStr"/>
      <c r="D166" s="17" t="inlineStr">
        <is>
          <t>Seasonal</t>
        </is>
      </c>
    </row>
    <row r="167">
      <c r="A167" s="15">
        <f>HYPERLINK("https://shoreaquatic.com/shop/plant-pcrwerx","C. Wendtii, Red")</f>
        <v/>
      </c>
      <c r="B167" s="16" t="inlineStr">
        <is>
          <t>Cryptocoryne wendtii 'Mi Oya'</t>
        </is>
      </c>
      <c r="C167" s="17" t="inlineStr">
        <is>
          <t>X-Large</t>
        </is>
      </c>
      <c r="D167" s="17" t="inlineStr">
        <is>
          <t>Seasonal</t>
        </is>
      </c>
    </row>
    <row r="168">
      <c r="A168" s="15">
        <f>HYPERLINK("https://shoreaquatic.com/shop/plant-pcrwer","C. Wendtii, Red 6-24")</f>
        <v/>
      </c>
      <c r="B168" s="16" t="inlineStr">
        <is>
          <t>Cryptocoryne wendtii 'Mi Oya'</t>
        </is>
      </c>
      <c r="C168" s="17" t="inlineStr"/>
      <c r="D168" s="17" t="inlineStr">
        <is>
          <t>In Stock</t>
        </is>
      </c>
    </row>
    <row r="169">
      <c r="A169" s="15">
        <f>HYPERLINK("https://shoreaquatic.com/shop/plant-pcapl","Cardinal Plant. 6-24")</f>
        <v/>
      </c>
      <c r="B169" s="16" t="inlineStr">
        <is>
          <t>Lobelia cardinalis 'Small Form'</t>
        </is>
      </c>
      <c r="C169" s="17" t="inlineStr"/>
      <c r="D169" s="17" t="inlineStr">
        <is>
          <t>In Stock</t>
        </is>
      </c>
    </row>
    <row r="170">
      <c r="A170" s="15">
        <f>HYPERLINK("https://shoreaquatic.com/shop/plant-pchsw","Chain Sword, Narrow 6-24")</f>
        <v/>
      </c>
      <c r="B170" s="16" t="inlineStr">
        <is>
          <t>Helanthium tenellus</t>
        </is>
      </c>
      <c r="C170" s="17" t="inlineStr"/>
      <c r="D170" s="17" t="inlineStr">
        <is>
          <t>Ask / Seasonal</t>
        </is>
      </c>
    </row>
    <row r="171">
      <c r="A171" s="15">
        <f>HYPERLINK("https://shoreaquatic.com/shop/plant-pcrba","Cr. Balansae 6-24")</f>
        <v/>
      </c>
      <c r="B171" s="16" t="inlineStr">
        <is>
          <t>Cryptocoryne crispatula var. balansae</t>
        </is>
      </c>
      <c r="C171" s="17" t="inlineStr"/>
      <c r="D171" s="17" t="inlineStr">
        <is>
          <t>Seasonal</t>
        </is>
      </c>
    </row>
    <row r="172">
      <c r="A172" s="15">
        <f>HYPERLINK("https://shoreaquatic.com/shop/plant-pervi","Eriocaulon Vietnam 6-24")</f>
        <v/>
      </c>
      <c r="B172" s="16" t="inlineStr">
        <is>
          <t>Eriocaulon Vietnam</t>
        </is>
      </c>
      <c r="C172" s="17" t="inlineStr"/>
      <c r="D172" s="17" t="inlineStr">
        <is>
          <t>Ask / Seasonal</t>
        </is>
      </c>
    </row>
    <row r="173">
      <c r="A173" s="15">
        <f>HYPERLINK("https://shoreaquatic.com/shop/plant-pfole","Four Leaf Clover 6-24")</f>
        <v/>
      </c>
      <c r="B173" s="16" t="inlineStr">
        <is>
          <t>Marsilea quadrifolia</t>
        </is>
      </c>
      <c r="C173" s="17" t="inlineStr"/>
      <c r="D173" s="17" t="inlineStr">
        <is>
          <t>In Stock</t>
        </is>
      </c>
    </row>
    <row r="174">
      <c r="A174" s="15">
        <f>HYPERLINK("https://shoreaquatic.com/shop/plant-pfoled","Four Leaf Clover, Dwarf 6-24")</f>
        <v/>
      </c>
      <c r="B174" s="16" t="inlineStr">
        <is>
          <t>Marsilea hirsuta</t>
        </is>
      </c>
      <c r="C174" s="17" t="inlineStr"/>
      <c r="D174" s="17" t="inlineStr">
        <is>
          <t>Ask / Seasonal</t>
        </is>
      </c>
    </row>
    <row r="175">
      <c r="A175" s="15">
        <f>HYPERLINK("https://shoreaquatic.com/shop/plant-pglo","Glossostigma. 6-24")</f>
        <v/>
      </c>
      <c r="B175" s="16" t="inlineStr">
        <is>
          <t>Glossostigma elatinoides</t>
        </is>
      </c>
      <c r="C175" s="17" t="inlineStr"/>
      <c r="D175" s="17" t="inlineStr">
        <is>
          <t>In Stock</t>
        </is>
      </c>
    </row>
    <row r="176">
      <c r="A176" s="15">
        <f>HYPERLINK("https://shoreaquatic.com/shop/plant-phadw","Hairgrass, Dwarf 6-24")</f>
        <v/>
      </c>
      <c r="B176" s="16" t="inlineStr">
        <is>
          <t>Eleocharis pusilla</t>
        </is>
      </c>
      <c r="C176" s="17" t="inlineStr"/>
      <c r="D176" s="17" t="inlineStr">
        <is>
          <t>In Stock</t>
        </is>
      </c>
    </row>
    <row r="177">
      <c r="A177" s="15">
        <f>HYPERLINK("https://shoreaquatic.com/shop/plant-phagi","Hairgrass, Giant 6-24")</f>
        <v/>
      </c>
      <c r="B177" s="16" t="inlineStr">
        <is>
          <t>Eleocharis montevidensis</t>
        </is>
      </c>
      <c r="C177" s="17" t="inlineStr"/>
      <c r="D177" s="17" t="inlineStr">
        <is>
          <t>In Stock</t>
        </is>
      </c>
    </row>
    <row r="178">
      <c r="A178" s="15">
        <f>HYPERLINK("https://shoreaquatic.com/shop/plant-annancm","Nancon")</f>
        <v/>
      </c>
      <c r="B178" s="16" t="inlineStr">
        <is>
          <t>Anubias 'Nancon'</t>
        </is>
      </c>
      <c r="C178" s="17" t="inlineStr">
        <is>
          <t>Medium</t>
        </is>
      </c>
      <c r="D178" s="17" t="inlineStr">
        <is>
          <t>Ask / Seasonal</t>
        </is>
      </c>
    </row>
    <row r="179">
      <c r="A179" s="15">
        <f>HYPERLINK("https://shoreaquatic.com/shop/plant-annancl","Nancon")</f>
        <v/>
      </c>
      <c r="B179" s="16" t="inlineStr">
        <is>
          <t>Anubias 'Nancon'</t>
        </is>
      </c>
      <c r="C179" s="17" t="inlineStr">
        <is>
          <t>Large</t>
        </is>
      </c>
      <c r="D179" s="17" t="inlineStr">
        <is>
          <t>Ask / Seasonal</t>
        </is>
      </c>
    </row>
    <row r="180">
      <c r="A180" s="15">
        <f>HYPERLINK("https://shoreaquatic.com/shop/plant-annangm","Nangi")</f>
        <v/>
      </c>
      <c r="B180" s="16" t="inlineStr">
        <is>
          <t>Anubias 'Nangi'</t>
        </is>
      </c>
      <c r="C180" s="17" t="inlineStr">
        <is>
          <t>Medium</t>
        </is>
      </c>
      <c r="D180" s="17" t="inlineStr">
        <is>
          <t>Ask / Seasonal</t>
        </is>
      </c>
    </row>
    <row r="181">
      <c r="A181" s="15">
        <f>HYPERLINK("https://shoreaquatic.com/shop/plant-annangl","Nangi")</f>
        <v/>
      </c>
      <c r="B181" s="16" t="inlineStr">
        <is>
          <t>Anubias 'Nangi'</t>
        </is>
      </c>
      <c r="C181" s="17" t="inlineStr">
        <is>
          <t>Large</t>
        </is>
      </c>
      <c r="D181" s="17" t="inlineStr">
        <is>
          <t>Ask / Seasonal</t>
        </is>
      </c>
    </row>
    <row r="182">
      <c r="A182" s="15">
        <f>HYPERLINK("https://shoreaquatic.com/shop/plant-cparm","Parva")</f>
        <v/>
      </c>
      <c r="B182" s="16" t="inlineStr">
        <is>
          <t>Cryptocoryne parva</t>
        </is>
      </c>
      <c r="C182" s="17" t="inlineStr">
        <is>
          <t>Medium</t>
        </is>
      </c>
      <c r="D182" s="17" t="inlineStr">
        <is>
          <t>Ask / Seasonal</t>
        </is>
      </c>
    </row>
    <row r="183">
      <c r="A183" s="15">
        <f>HYPERLINK("https://shoreaquatic.com/shop/plant-cparx","Parva")</f>
        <v/>
      </c>
      <c r="B183" s="16" t="inlineStr">
        <is>
          <t>Cryptocoryne parva</t>
        </is>
      </c>
      <c r="C183" s="17" t="inlineStr">
        <is>
          <t>X-Large</t>
        </is>
      </c>
      <c r="D183" s="17" t="inlineStr">
        <is>
          <t>Ask / Seasonal</t>
        </is>
      </c>
    </row>
    <row r="184">
      <c r="A184" s="15">
        <f>HYPERLINK("https://shoreaquatic.com/shop/plant-cpetm","Petchii")</f>
        <v/>
      </c>
      <c r="B184" s="16" t="inlineStr">
        <is>
          <t>Cryptocoryne beckettii 'Petchii'</t>
        </is>
      </c>
      <c r="C184" s="17" t="inlineStr">
        <is>
          <t>Medium</t>
        </is>
      </c>
      <c r="D184" s="17" t="inlineStr">
        <is>
          <t>Ask / Seasonal</t>
        </is>
      </c>
    </row>
    <row r="185">
      <c r="A185" s="15">
        <f>HYPERLINK("https://shoreaquatic.com/shop/plant-cpetx","Petchii")</f>
        <v/>
      </c>
      <c r="B185" s="16" t="inlineStr">
        <is>
          <t>Cryptocoryne beckettii 'Petchii'</t>
        </is>
      </c>
      <c r="C185" s="17" t="inlineStr">
        <is>
          <t>X-Large</t>
        </is>
      </c>
      <c r="D185" s="17" t="inlineStr">
        <is>
          <t>Seasonal</t>
        </is>
      </c>
    </row>
    <row r="186">
      <c r="A186" s="15">
        <f>HYPERLINK("https://shoreaquatic.com/shop/plant-cponm","Pontederiifolia")</f>
        <v/>
      </c>
      <c r="B186" s="16" t="inlineStr">
        <is>
          <t>Cryptocoryne pontederiifolia</t>
        </is>
      </c>
      <c r="C186" s="17" t="inlineStr">
        <is>
          <t>Medium</t>
        </is>
      </c>
      <c r="D186" s="17" t="inlineStr">
        <is>
          <t>In Stock</t>
        </is>
      </c>
    </row>
    <row r="187">
      <c r="A187" s="15">
        <f>HYPERLINK("https://shoreaquatic.com/shop/plant-cretm","Retrospiralis")</f>
        <v/>
      </c>
      <c r="B187" s="16" t="inlineStr">
        <is>
          <t>Cryptocoryne retrospiralis</t>
        </is>
      </c>
      <c r="C187" s="17" t="inlineStr">
        <is>
          <t>Medium</t>
        </is>
      </c>
      <c r="D187" s="17" t="inlineStr">
        <is>
          <t>In Stock</t>
        </is>
      </c>
    </row>
    <row r="188">
      <c r="A188" s="15">
        <f>HYPERLINK("https://shoreaquatic.com/shop/plant-cretl","Retrospiralis")</f>
        <v/>
      </c>
      <c r="B188" s="16" t="inlineStr">
        <is>
          <t>Cryptocoryne retrospiralis</t>
        </is>
      </c>
      <c r="C188" s="17" t="inlineStr">
        <is>
          <t>Large</t>
        </is>
      </c>
      <c r="D188" s="17" t="inlineStr">
        <is>
          <t>In Stock</t>
        </is>
      </c>
    </row>
    <row r="189">
      <c r="A189" s="15">
        <f>HYPERLINK("https://shoreaquatic.com/shop/plant-cspim","Spiralis")</f>
        <v/>
      </c>
      <c r="B189" s="16" t="inlineStr">
        <is>
          <t>Cryptocoryne spiralis</t>
        </is>
      </c>
      <c r="C189" s="17" t="inlineStr">
        <is>
          <t>Medium</t>
        </is>
      </c>
      <c r="D189" s="17" t="inlineStr">
        <is>
          <t>Ask / Seasonal</t>
        </is>
      </c>
    </row>
    <row r="190">
      <c r="A190" s="15">
        <f>HYPERLINK("https://shoreaquatic.com/shop/plant-cspix","Spiralis")</f>
        <v/>
      </c>
      <c r="B190" s="16" t="inlineStr">
        <is>
          <t>Cryptocoryne spiralis</t>
        </is>
      </c>
      <c r="C190" s="17" t="inlineStr">
        <is>
          <t>X-Large</t>
        </is>
      </c>
      <c r="D190" s="17" t="inlineStr">
        <is>
          <t>Ask / Seasonal</t>
        </is>
      </c>
    </row>
    <row r="191">
      <c r="A191" s="15">
        <f>HYPERLINK("https://shoreaquatic.com/shop/plant-cundm","Undulata")</f>
        <v/>
      </c>
      <c r="B191" s="16" t="inlineStr">
        <is>
          <t>Cryptocoryne undulata</t>
        </is>
      </c>
      <c r="C191" s="17" t="inlineStr">
        <is>
          <t>Medium</t>
        </is>
      </c>
      <c r="D191" s="17" t="inlineStr">
        <is>
          <t>Seasonal</t>
        </is>
      </c>
    </row>
    <row r="192">
      <c r="A192" s="15">
        <f>HYPERLINK("https://shoreaquatic.com/shop/plant-cundx","Undulata")</f>
        <v/>
      </c>
      <c r="B192" s="16" t="inlineStr">
        <is>
          <t>Cryptocoryne undulata</t>
        </is>
      </c>
      <c r="C192" s="17" t="inlineStr">
        <is>
          <t>X-Large</t>
        </is>
      </c>
      <c r="D192" s="17" t="inlineStr">
        <is>
          <t>Seasonal</t>
        </is>
      </c>
    </row>
    <row r="193">
      <c r="A193" s="15">
        <f>HYPERLINK("https://shoreaquatic.com/shop/plant-cundms","Undulata Subm")</f>
        <v/>
      </c>
      <c r="B193" s="16" t="inlineStr">
        <is>
          <t>Cryptocoryne undulata</t>
        </is>
      </c>
      <c r="C193" s="17" t="inlineStr">
        <is>
          <t>Medium</t>
        </is>
      </c>
      <c r="D193" s="17" t="inlineStr">
        <is>
          <t>Seasonal</t>
        </is>
      </c>
    </row>
    <row r="194">
      <c r="A194" s="15">
        <f>HYPERLINK("https://shoreaquatic.com/shop/plant-custm","Usteriana")</f>
        <v/>
      </c>
      <c r="B194" s="16" t="inlineStr">
        <is>
          <t>Cryptocoryne usteriana</t>
        </is>
      </c>
      <c r="C194" s="17" t="inlineStr">
        <is>
          <t>Medium</t>
        </is>
      </c>
      <c r="D194" s="17" t="inlineStr">
        <is>
          <t>In Stock</t>
        </is>
      </c>
    </row>
    <row r="195">
      <c r="A195" s="15">
        <f>HYPERLINK("https://shoreaquatic.com/shop/plant-custl","Usteriana")</f>
        <v/>
      </c>
      <c r="B195" s="16" t="inlineStr">
        <is>
          <t>Cryptocoryne usteriana</t>
        </is>
      </c>
      <c r="C195" s="17" t="inlineStr">
        <is>
          <t>Large</t>
        </is>
      </c>
      <c r="D195" s="17" t="inlineStr">
        <is>
          <t>In Stock</t>
        </is>
      </c>
    </row>
    <row r="196">
      <c r="A196" s="15">
        <f>HYPERLINK("https://shoreaquatic.com/shop/plant-custx","Usteriana")</f>
        <v/>
      </c>
      <c r="B196" s="16" t="inlineStr">
        <is>
          <t>Cryptocoryne usteriana</t>
        </is>
      </c>
      <c r="C196" s="17" t="inlineStr">
        <is>
          <t>X-Large</t>
        </is>
      </c>
      <c r="D196" s="17" t="inlineStr">
        <is>
          <t>Seasonal</t>
        </is>
      </c>
    </row>
    <row r="197">
      <c r="A197" s="15">
        <f>HYPERLINK("https://shoreaquatic.com/shop/plant-cwebrxs","Wendii, Bronze Subm")</f>
        <v/>
      </c>
      <c r="B197" s="16" t="inlineStr">
        <is>
          <t>Cryptocoryne wendtii 'Tropica'</t>
        </is>
      </c>
      <c r="C197" s="17" t="inlineStr">
        <is>
          <t>X-Large</t>
        </is>
      </c>
      <c r="D197" s="17" t="inlineStr">
        <is>
          <t>Seasonal</t>
        </is>
      </c>
    </row>
    <row r="198">
      <c r="A198" s="15">
        <f>HYPERLINK("https://shoreaquatic.com/shop/plant-cwebrm","Wendtii, Bronze")</f>
        <v/>
      </c>
      <c r="B198" s="16" t="inlineStr">
        <is>
          <t>Cryptocoryne wendtii 'Tropica'</t>
        </is>
      </c>
      <c r="C198" s="17" t="inlineStr">
        <is>
          <t>Medium</t>
        </is>
      </c>
      <c r="D198" s="17" t="inlineStr">
        <is>
          <t>In Stock</t>
        </is>
      </c>
    </row>
    <row r="199">
      <c r="A199" s="15">
        <f>HYPERLINK("https://shoreaquatic.com/shop/plant-cwebrx","Wendtii, Bronze")</f>
        <v/>
      </c>
      <c r="B199" s="16" t="inlineStr">
        <is>
          <t>Cryptocoryne wendtii 'Tropica'</t>
        </is>
      </c>
      <c r="C199" s="17" t="inlineStr">
        <is>
          <t>X-Large</t>
        </is>
      </c>
      <c r="D199" s="17" t="inlineStr">
        <is>
          <t>Ask / Seasonal</t>
        </is>
      </c>
    </row>
    <row r="200">
      <c r="A200" s="15">
        <f>HYPERLINK("https://shoreaquatic.com/shop/plant-cwebrms","Wendtii, Bronze Subm")</f>
        <v/>
      </c>
      <c r="B200" s="16" t="inlineStr">
        <is>
          <t>Cryptocoryne wendtii 'Tropica'</t>
        </is>
      </c>
      <c r="C200" s="17" t="inlineStr">
        <is>
          <t>Medium</t>
        </is>
      </c>
      <c r="D200" s="17" t="inlineStr">
        <is>
          <t>Seasonal</t>
        </is>
      </c>
    </row>
    <row r="201">
      <c r="A201" s="15">
        <f>HYPERLINK("https://shoreaquatic.com/shop/plant-cwegrm","Wendtii, Green")</f>
        <v/>
      </c>
      <c r="B201" s="16" t="inlineStr">
        <is>
          <t>Cryptocoryne wendtii 'Green'</t>
        </is>
      </c>
      <c r="C201" s="17" t="inlineStr">
        <is>
          <t>Medium</t>
        </is>
      </c>
      <c r="D201" s="17" t="inlineStr">
        <is>
          <t>In Stock</t>
        </is>
      </c>
    </row>
    <row r="202">
      <c r="A202" s="15">
        <f>HYPERLINK("https://shoreaquatic.com/shop/plant-cwegrx","Wendtii, Green")</f>
        <v/>
      </c>
      <c r="B202" s="16" t="inlineStr">
        <is>
          <t>Cryptocoryne wendtii 'Green'</t>
        </is>
      </c>
      <c r="C202" s="17" t="inlineStr">
        <is>
          <t>X-Large</t>
        </is>
      </c>
      <c r="D202" s="17" t="inlineStr">
        <is>
          <t>Ask / Seasonal</t>
        </is>
      </c>
    </row>
    <row r="203">
      <c r="A203" s="15">
        <f>HYPERLINK("https://shoreaquatic.com/shop/plant-cwegrms","Wendtii, Green Subm")</f>
        <v/>
      </c>
      <c r="B203" s="16" t="inlineStr">
        <is>
          <t>Cryptocoryne wendtii 'Green'</t>
        </is>
      </c>
      <c r="C203" s="17" t="inlineStr">
        <is>
          <t>Medium</t>
        </is>
      </c>
      <c r="D203" s="17" t="inlineStr">
        <is>
          <t>Seasonal</t>
        </is>
      </c>
    </row>
    <row r="204">
      <c r="A204" s="15">
        <f>HYPERLINK("https://shoreaquatic.com/shop/plant-cwegrxs","Wendtii, Green Subm")</f>
        <v/>
      </c>
      <c r="B204" s="16" t="inlineStr">
        <is>
          <t>Cryptocoryne wendtii 'Green'</t>
        </is>
      </c>
      <c r="C204" s="17" t="inlineStr">
        <is>
          <t>X-Large</t>
        </is>
      </c>
      <c r="D204" s="17" t="inlineStr">
        <is>
          <t>Seasonal</t>
        </is>
      </c>
    </row>
    <row r="205">
      <c r="A205" s="15">
        <f>HYPERLINK("https://shoreaquatic.com/shop/plant-cwerem","Wendtii, Red")</f>
        <v/>
      </c>
      <c r="B205" s="16" t="inlineStr">
        <is>
          <t>Cryptocoryne wendtii 'Mi Oya'</t>
        </is>
      </c>
      <c r="C205" s="17" t="inlineStr">
        <is>
          <t>Medium</t>
        </is>
      </c>
      <c r="D205" s="17" t="inlineStr">
        <is>
          <t>Ask / Seasonal</t>
        </is>
      </c>
    </row>
    <row r="206">
      <c r="A206" s="15">
        <f>HYPERLINK("https://shoreaquatic.com/shop/plant-cwerex","Wendtii, Red")</f>
        <v/>
      </c>
      <c r="B206" s="16" t="inlineStr">
        <is>
          <t>Cryptocoryne wendtii 'Mi Oya'</t>
        </is>
      </c>
      <c r="C206" s="17" t="inlineStr">
        <is>
          <t>X-Large</t>
        </is>
      </c>
      <c r="D206" s="17" t="inlineStr">
        <is>
          <t>Ask / Seasonal</t>
        </is>
      </c>
    </row>
    <row r="207">
      <c r="A207" s="14" t="inlineStr">
        <is>
          <t xml:space="preserve">  Echinodorus  (102)</t>
        </is>
      </c>
    </row>
    <row r="208">
      <c r="A208" s="15">
        <f>HYPERLINK("https://shoreaquatic.com/shop/plant-ealts","Altlandsberg")</f>
        <v/>
      </c>
      <c r="B208" s="16" t="inlineStr">
        <is>
          <t>Echinodorus 'Altlandsberg'</t>
        </is>
      </c>
      <c r="C208" s="17" t="inlineStr">
        <is>
          <t>Small</t>
        </is>
      </c>
      <c r="D208" s="17" t="inlineStr">
        <is>
          <t>In Stock</t>
        </is>
      </c>
    </row>
    <row r="209">
      <c r="A209" s="15">
        <f>HYPERLINK("https://shoreaquatic.com/shop/plant-ealtm","Altlandsberg")</f>
        <v/>
      </c>
      <c r="B209" s="16" t="inlineStr">
        <is>
          <t>Echinodorus 'Altlandsberg'</t>
        </is>
      </c>
      <c r="C209" s="17" t="inlineStr">
        <is>
          <t>Medium</t>
        </is>
      </c>
      <c r="D209" s="17" t="inlineStr">
        <is>
          <t>In Stock</t>
        </is>
      </c>
    </row>
    <row r="210">
      <c r="A210" s="15">
        <f>HYPERLINK("https://shoreaquatic.com/shop/plant-ealtl","Altlandsberg")</f>
        <v/>
      </c>
      <c r="B210" s="16" t="inlineStr">
        <is>
          <t>Echinodorus 'Altlandsberg'</t>
        </is>
      </c>
      <c r="C210" s="17" t="inlineStr">
        <is>
          <t>Large</t>
        </is>
      </c>
      <c r="D210" s="17" t="inlineStr">
        <is>
          <t>In Stock</t>
        </is>
      </c>
    </row>
    <row r="211">
      <c r="A211" s="15">
        <f>HYPERLINK("https://shoreaquatic.com/shop/plant-ealtx","Altlandsberg")</f>
        <v/>
      </c>
      <c r="B211" s="16" t="inlineStr">
        <is>
          <t>Echinodorus 'Altlandsberg'</t>
        </is>
      </c>
      <c r="C211" s="17" t="inlineStr">
        <is>
          <t>X-Large</t>
        </is>
      </c>
      <c r="D211" s="17" t="inlineStr">
        <is>
          <t>Seasonal</t>
        </is>
      </c>
    </row>
    <row r="212">
      <c r="A212" s="15">
        <f>HYPERLINK("https://shoreaquatic.com/shop/plant-palt","Altlandsberg")</f>
        <v/>
      </c>
      <c r="B212" s="16" t="inlineStr">
        <is>
          <t>Echinodorus 'Altlandsberg'</t>
        </is>
      </c>
      <c r="C212" s="17" t="inlineStr"/>
      <c r="D212" s="17" t="inlineStr">
        <is>
          <t>In Stock</t>
        </is>
      </c>
    </row>
    <row r="213">
      <c r="A213" s="15">
        <f>HYPERLINK("https://shoreaquatic.com/shop/plant-eamas","Amazon")</f>
        <v/>
      </c>
      <c r="B213" s="16" t="inlineStr">
        <is>
          <t>E. grisebachii 'Bleherae'</t>
        </is>
      </c>
      <c r="C213" s="17" t="inlineStr">
        <is>
          <t>Small</t>
        </is>
      </c>
      <c r="D213" s="17" t="inlineStr">
        <is>
          <t>In Stock</t>
        </is>
      </c>
    </row>
    <row r="214">
      <c r="A214" s="15">
        <f>HYPERLINK("https://shoreaquatic.com/shop/plant-eamam","Amazon")</f>
        <v/>
      </c>
      <c r="B214" s="16" t="inlineStr">
        <is>
          <t>E. grisebachii 'Bleherae'</t>
        </is>
      </c>
      <c r="C214" s="17" t="inlineStr">
        <is>
          <t>Medium</t>
        </is>
      </c>
      <c r="D214" s="17" t="inlineStr">
        <is>
          <t>In Stock</t>
        </is>
      </c>
    </row>
    <row r="215">
      <c r="A215" s="15">
        <f>HYPERLINK("https://shoreaquatic.com/shop/plant-eamal","Amazon")</f>
        <v/>
      </c>
      <c r="B215" s="16" t="inlineStr">
        <is>
          <t>E. grisebachii 'Bleherae'</t>
        </is>
      </c>
      <c r="C215" s="17" t="inlineStr">
        <is>
          <t>Large</t>
        </is>
      </c>
      <c r="D215" s="17" t="inlineStr">
        <is>
          <t>In Stock</t>
        </is>
      </c>
    </row>
    <row r="216">
      <c r="A216" s="15">
        <f>HYPERLINK("https://shoreaquatic.com/shop/plant-eamax","Amazon")</f>
        <v/>
      </c>
      <c r="B216" s="16" t="inlineStr">
        <is>
          <t>E. grisebachii 'Bleherae'</t>
        </is>
      </c>
      <c r="C216" s="17" t="inlineStr">
        <is>
          <t>X-Large</t>
        </is>
      </c>
      <c r="D216" s="17" t="inlineStr">
        <is>
          <t>In Stock</t>
        </is>
      </c>
    </row>
    <row r="217">
      <c r="A217" s="15">
        <f>HYPERLINK("https://shoreaquatic.com/shop/plant-pamal","Amazon")</f>
        <v/>
      </c>
      <c r="B217" s="16" t="inlineStr">
        <is>
          <t>E. grisebachii 'Bleherae'</t>
        </is>
      </c>
      <c r="C217" s="17" t="inlineStr">
        <is>
          <t>Large</t>
        </is>
      </c>
      <c r="D217" s="17" t="inlineStr">
        <is>
          <t>In Stock</t>
        </is>
      </c>
    </row>
    <row r="218">
      <c r="A218" s="15">
        <f>HYPERLINK("https://shoreaquatic.com/shop/plant-pamax","Amazon")</f>
        <v/>
      </c>
      <c r="B218" s="16" t="inlineStr">
        <is>
          <t>E. grisebachii 'Bleherae'</t>
        </is>
      </c>
      <c r="C218" s="17" t="inlineStr">
        <is>
          <t>X-Large</t>
        </is>
      </c>
      <c r="D218" s="17" t="inlineStr">
        <is>
          <t>Ask / Seasonal</t>
        </is>
      </c>
    </row>
    <row r="219">
      <c r="A219" s="15">
        <f>HYPERLINK("https://shoreaquatic.com/shop/plant-eamcos","Amazon 'Compacta'")</f>
        <v/>
      </c>
      <c r="B219" s="16" t="inlineStr">
        <is>
          <t>E. grisebachii 'Bleherae' Compacta</t>
        </is>
      </c>
      <c r="C219" s="17" t="inlineStr">
        <is>
          <t>Small</t>
        </is>
      </c>
      <c r="D219" s="17" t="inlineStr">
        <is>
          <t>In Stock</t>
        </is>
      </c>
    </row>
    <row r="220">
      <c r="A220" s="15">
        <f>HYPERLINK("https://shoreaquatic.com/shop/plant-eamcom","Amazon 'Compacta'")</f>
        <v/>
      </c>
      <c r="B220" s="16" t="inlineStr">
        <is>
          <t>E. grisebachii 'Bleherae' Compacta</t>
        </is>
      </c>
      <c r="C220" s="17" t="inlineStr">
        <is>
          <t>Medium</t>
        </is>
      </c>
      <c r="D220" s="17" t="inlineStr">
        <is>
          <t>In Stock</t>
        </is>
      </c>
    </row>
    <row r="221">
      <c r="A221" s="15">
        <f>HYPERLINK("https://shoreaquatic.com/shop/plant-eamcol","Amazon 'Compacta'")</f>
        <v/>
      </c>
      <c r="B221" s="16" t="inlineStr">
        <is>
          <t>E. grisebachii 'Bleherae' Compacta</t>
        </is>
      </c>
      <c r="C221" s="17" t="inlineStr">
        <is>
          <t>Large</t>
        </is>
      </c>
      <c r="D221" s="17" t="inlineStr">
        <is>
          <t>In Stock</t>
        </is>
      </c>
    </row>
    <row r="222">
      <c r="A222" s="15">
        <f>HYPERLINK("https://shoreaquatic.com/shop/plant-pama","Amazon 6-24")</f>
        <v/>
      </c>
      <c r="B222" s="16" t="inlineStr">
        <is>
          <t>E. grisebachii 'Bleherae'</t>
        </is>
      </c>
      <c r="C222" s="17" t="inlineStr"/>
      <c r="D222" s="17" t="inlineStr">
        <is>
          <t>In Stock</t>
        </is>
      </c>
    </row>
    <row r="223">
      <c r="A223" s="15">
        <f>HYPERLINK("https://shoreaquatic.com/shop/plant-mboo","Aquarium Plant Book")</f>
        <v/>
      </c>
      <c r="B223" s="16" t="inlineStr"/>
      <c r="C223" s="17" t="inlineStr"/>
      <c r="D223" s="17" t="inlineStr">
        <is>
          <t>In Stock</t>
        </is>
      </c>
    </row>
    <row r="224">
      <c r="A224" s="15">
        <f>HYPERLINK("https://shoreaquatic.com/shop/plant-mposa","Aquarium Plant Poster")</f>
        <v/>
      </c>
      <c r="B224" s="16" t="inlineStr"/>
      <c r="C224" s="17" t="inlineStr"/>
      <c r="D224" s="17" t="inlineStr">
        <is>
          <t>In Stock</t>
        </is>
      </c>
    </row>
    <row r="225">
      <c r="A225" s="15">
        <f>HYPERLINK("https://shoreaquatic.com/shop/plant-maquset","Aquascaping Tools Set")</f>
        <v/>
      </c>
      <c r="B225" s="16" t="inlineStr">
        <is>
          <t>3 piece set (Spatula, scissors, tweezers)</t>
        </is>
      </c>
      <c r="C225" s="17" t="inlineStr"/>
      <c r="D225" s="17" t="inlineStr">
        <is>
          <t>In Stock</t>
        </is>
      </c>
    </row>
    <row r="226">
      <c r="A226" s="15">
        <f>HYPERLINK("https://shoreaquatic.com/shop/plant-pass","Assorted Pots - 50+")</f>
        <v/>
      </c>
      <c r="B226" s="16" t="inlineStr"/>
      <c r="C226" s="17" t="inlineStr"/>
      <c r="D226" s="17" t="inlineStr">
        <is>
          <t>In Stock</t>
        </is>
      </c>
    </row>
    <row r="227">
      <c r="A227" s="15">
        <f>HYPERLINK("https://shoreaquatic.com/shop/plant-ebras","Brazil")</f>
        <v/>
      </c>
      <c r="B227" s="16" t="inlineStr">
        <is>
          <t>Spathiphyllum spp.</t>
        </is>
      </c>
      <c r="C227" s="17" t="inlineStr">
        <is>
          <t>Small</t>
        </is>
      </c>
      <c r="D227" s="17" t="inlineStr">
        <is>
          <t>In Stock</t>
        </is>
      </c>
    </row>
    <row r="228">
      <c r="A228" s="15">
        <f>HYPERLINK("https://shoreaquatic.com/shop/plant-ebram","Brazil")</f>
        <v/>
      </c>
      <c r="B228" s="16" t="inlineStr">
        <is>
          <t>Spathiphyllum spp.</t>
        </is>
      </c>
      <c r="C228" s="17" t="inlineStr">
        <is>
          <t>Medium</t>
        </is>
      </c>
      <c r="D228" s="17" t="inlineStr">
        <is>
          <t>Ask / Seasonal</t>
        </is>
      </c>
    </row>
    <row r="229">
      <c r="A229" s="15">
        <f>HYPERLINK("https://shoreaquatic.com/shop/plant-ebral","Brazil")</f>
        <v/>
      </c>
      <c r="B229" s="16" t="inlineStr">
        <is>
          <t>Spathiphyllum spp.</t>
        </is>
      </c>
      <c r="C229" s="17" t="inlineStr">
        <is>
          <t>Large</t>
        </is>
      </c>
      <c r="D229" s="17" t="inlineStr">
        <is>
          <t>Ask / Seasonal</t>
        </is>
      </c>
    </row>
    <row r="230">
      <c r="A230" s="15">
        <f>HYPERLINK("https://shoreaquatic.com/shop/plant-ebrax","Brazil")</f>
        <v/>
      </c>
      <c r="B230" s="16" t="inlineStr">
        <is>
          <t>Spathiphyllum spp.</t>
        </is>
      </c>
      <c r="C230" s="17" t="inlineStr">
        <is>
          <t>X-Large</t>
        </is>
      </c>
      <c r="D230" s="17" t="inlineStr">
        <is>
          <t>Seasonal</t>
        </is>
      </c>
    </row>
    <row r="231">
      <c r="A231" s="15">
        <f>HYPERLINK("https://shoreaquatic.com/shop/plant-pbral","Brazil")</f>
        <v/>
      </c>
      <c r="B231" s="16" t="inlineStr">
        <is>
          <t>Spathiphyllum spp.</t>
        </is>
      </c>
      <c r="C231" s="17" t="inlineStr">
        <is>
          <t>Large</t>
        </is>
      </c>
      <c r="D231" s="17" t="inlineStr">
        <is>
          <t>Seasonal</t>
        </is>
      </c>
    </row>
    <row r="232">
      <c r="A232" s="15">
        <f>HYPERLINK("https://shoreaquatic.com/shop/plant-pbra","Brazil 6-24")</f>
        <v/>
      </c>
      <c r="B232" s="16" t="inlineStr">
        <is>
          <t>Spathiphyllum spp.</t>
        </is>
      </c>
      <c r="C232" s="17" t="inlineStr"/>
      <c r="D232" s="17" t="inlineStr">
        <is>
          <t>In Stock</t>
        </is>
      </c>
    </row>
    <row r="233">
      <c r="A233" s="15">
        <f>HYPERLINK("https://shoreaquatic.com/shop/plant-echbr","Chain, Broad Leaf")</f>
        <v/>
      </c>
      <c r="B233" s="16" t="inlineStr">
        <is>
          <t>Helanthium bolivianum 'Quadricostatus'</t>
        </is>
      </c>
      <c r="C233" s="17" t="inlineStr"/>
      <c r="D233" s="17" t="inlineStr">
        <is>
          <t>In Stock</t>
        </is>
      </c>
    </row>
    <row r="234">
      <c r="A234" s="15">
        <f>HYPERLINK("https://shoreaquatic.com/shop/plant-echna","Chain, Narrow Leaf")</f>
        <v/>
      </c>
      <c r="B234" s="16" t="inlineStr">
        <is>
          <t>Helanthium tenellum</t>
        </is>
      </c>
      <c r="C234" s="17" t="inlineStr"/>
      <c r="D234" s="17" t="inlineStr">
        <is>
          <t>In Stock</t>
        </is>
      </c>
    </row>
    <row r="235">
      <c r="A235" s="15">
        <f>HYPERLINK("https://shoreaquatic.com/shop/plant-echmas","Chocolate Marble")</f>
        <v/>
      </c>
      <c r="B235" s="16" t="inlineStr">
        <is>
          <t>Echinodorus 'Chocolate Marble'</t>
        </is>
      </c>
      <c r="C235" s="17" t="inlineStr">
        <is>
          <t>Small</t>
        </is>
      </c>
      <c r="D235" s="17" t="inlineStr">
        <is>
          <t>In Stock</t>
        </is>
      </c>
    </row>
    <row r="236">
      <c r="A236" s="15">
        <f>HYPERLINK("https://shoreaquatic.com/shop/plant-echmam","Chocolate Marble")</f>
        <v/>
      </c>
      <c r="B236" s="16" t="inlineStr">
        <is>
          <t>Echinodorus 'Chocolate Marble'</t>
        </is>
      </c>
      <c r="C236" s="17" t="inlineStr">
        <is>
          <t>Medium</t>
        </is>
      </c>
      <c r="D236" s="17" t="inlineStr">
        <is>
          <t>In Stock</t>
        </is>
      </c>
    </row>
    <row r="237">
      <c r="A237" s="15">
        <f>HYPERLINK("https://shoreaquatic.com/shop/plant-echmal","Chocolate Marble")</f>
        <v/>
      </c>
      <c r="B237" s="16" t="inlineStr">
        <is>
          <t>Echinodorus 'Chocolate Marble'</t>
        </is>
      </c>
      <c r="C237" s="17" t="inlineStr">
        <is>
          <t>Large</t>
        </is>
      </c>
      <c r="D237" s="17" t="inlineStr">
        <is>
          <t>In Stock</t>
        </is>
      </c>
    </row>
    <row r="238">
      <c r="A238" s="15">
        <f>HYPERLINK("https://shoreaquatic.com/shop/plant-efrsts","Frans Stoffels")</f>
        <v/>
      </c>
      <c r="B238" s="16" t="inlineStr">
        <is>
          <t>Echinodorus 'Frans Stoffels'</t>
        </is>
      </c>
      <c r="C238" s="17" t="inlineStr">
        <is>
          <t>Small</t>
        </is>
      </c>
      <c r="D238" s="17" t="inlineStr">
        <is>
          <t>In Stock</t>
        </is>
      </c>
    </row>
    <row r="239">
      <c r="A239" s="15">
        <f>HYPERLINK("https://shoreaquatic.com/shop/plant-efrstm","Frans Stoffels")</f>
        <v/>
      </c>
      <c r="B239" s="16" t="inlineStr">
        <is>
          <t>Echinodorus 'Frans Stoffels'</t>
        </is>
      </c>
      <c r="C239" s="17" t="inlineStr">
        <is>
          <t>Medium</t>
        </is>
      </c>
      <c r="D239" s="17" t="inlineStr">
        <is>
          <t>In Stock</t>
        </is>
      </c>
    </row>
    <row r="240">
      <c r="A240" s="15">
        <f>HYPERLINK("https://shoreaquatic.com/shop/plant-efrstl","Frans Stoffels")</f>
        <v/>
      </c>
      <c r="B240" s="16" t="inlineStr">
        <is>
          <t>Echinodorus 'Frans Stoffels'</t>
        </is>
      </c>
      <c r="C240" s="17" t="inlineStr">
        <is>
          <t>Large</t>
        </is>
      </c>
      <c r="D240" s="17" t="inlineStr">
        <is>
          <t>In Stock</t>
        </is>
      </c>
    </row>
    <row r="241">
      <c r="A241" s="15">
        <f>HYPERLINK("https://shoreaquatic.com/shop/plant-pfrstl","Frans Stoffels")</f>
        <v/>
      </c>
      <c r="B241" s="16" t="inlineStr">
        <is>
          <t>Echinodorus 'Frans Stoffels'</t>
        </is>
      </c>
      <c r="C241" s="17" t="inlineStr">
        <is>
          <t>Large</t>
        </is>
      </c>
      <c r="D241" s="17" t="inlineStr">
        <is>
          <t>Seasonal</t>
        </is>
      </c>
    </row>
    <row r="242">
      <c r="A242" s="15">
        <f>HYPERLINK("https://shoreaquatic.com/shop/plant-einrem","Indian Red")</f>
        <v/>
      </c>
      <c r="B242" s="16" t="inlineStr">
        <is>
          <t>Echinodorus 'Indian Red'</t>
        </is>
      </c>
      <c r="C242" s="17" t="inlineStr">
        <is>
          <t>Medium</t>
        </is>
      </c>
      <c r="D242" s="17" t="inlineStr">
        <is>
          <t>Ask / Seasonal</t>
        </is>
      </c>
    </row>
    <row r="243">
      <c r="A243" s="15">
        <f>HYPERLINK("https://shoreaquatic.com/shop/plant-einrel","Indian Red")</f>
        <v/>
      </c>
      <c r="B243" s="16" t="inlineStr">
        <is>
          <t>Echinodorus 'Indian Red'</t>
        </is>
      </c>
      <c r="C243" s="17" t="inlineStr">
        <is>
          <t>Large</t>
        </is>
      </c>
      <c r="D243" s="17" t="inlineStr">
        <is>
          <t>Ask / Seasonal</t>
        </is>
      </c>
    </row>
    <row r="244">
      <c r="A244" s="15">
        <f>HYPERLINK("https://shoreaquatic.com/shop/plant-mkaaqbo","Kasselmann Aquarium Plants Book")</f>
        <v/>
      </c>
      <c r="B244" s="16" t="inlineStr"/>
      <c r="C244" s="17" t="inlineStr"/>
      <c r="D244" s="17" t="inlineStr">
        <is>
          <t>Seasonal</t>
        </is>
      </c>
    </row>
    <row r="245">
      <c r="A245" s="15">
        <f>HYPERLINK("https://shoreaquatic.com/shop/plant-eklbas","Kleiner Bar")</f>
        <v/>
      </c>
      <c r="B245" s="16" t="inlineStr">
        <is>
          <t>Echinodorus 'Kleiner Bar'</t>
        </is>
      </c>
      <c r="C245" s="17" t="inlineStr">
        <is>
          <t>Small</t>
        </is>
      </c>
      <c r="D245" s="17" t="inlineStr">
        <is>
          <t>Ask / Seasonal</t>
        </is>
      </c>
    </row>
    <row r="246">
      <c r="A246" s="15">
        <f>HYPERLINK("https://shoreaquatic.com/shop/plant-eklbam","Kleiner Bar")</f>
        <v/>
      </c>
      <c r="B246" s="16" t="inlineStr">
        <is>
          <t>Echinodorus 'Kleiner Bar'</t>
        </is>
      </c>
      <c r="C246" s="17" t="inlineStr">
        <is>
          <t>Medium</t>
        </is>
      </c>
      <c r="D246" s="17" t="inlineStr">
        <is>
          <t>Ask / Seasonal</t>
        </is>
      </c>
    </row>
    <row r="247">
      <c r="A247" s="15">
        <f>HYPERLINK("https://shoreaquatic.com/shop/plant-eklbal","Kleiner Bar")</f>
        <v/>
      </c>
      <c r="B247" s="16" t="inlineStr">
        <is>
          <t>Echinodorus 'Kleiner Bar'</t>
        </is>
      </c>
      <c r="C247" s="17" t="inlineStr">
        <is>
          <t>Large</t>
        </is>
      </c>
      <c r="D247" s="17" t="inlineStr">
        <is>
          <t>Ask / Seasonal</t>
        </is>
      </c>
    </row>
    <row r="248">
      <c r="A248" s="15">
        <f>HYPERLINK("https://shoreaquatic.com/shop/plant-eklbax","Kleiner Bar")</f>
        <v/>
      </c>
      <c r="B248" s="16" t="inlineStr">
        <is>
          <t>Echinodorus 'Kleiner Bar'</t>
        </is>
      </c>
      <c r="C248" s="17" t="inlineStr">
        <is>
          <t>X-Large</t>
        </is>
      </c>
      <c r="D248" s="17" t="inlineStr">
        <is>
          <t>Seasonal</t>
        </is>
      </c>
    </row>
    <row r="249">
      <c r="A249" s="15">
        <f>HYPERLINK("https://shoreaquatic.com/shop/plant-pklbal","Kleiner Bar")</f>
        <v/>
      </c>
      <c r="B249" s="16" t="inlineStr">
        <is>
          <t>Echinodorus 'Kleiner Bar'</t>
        </is>
      </c>
      <c r="C249" s="17" t="inlineStr">
        <is>
          <t>Large</t>
        </is>
      </c>
      <c r="D249" s="17" t="inlineStr">
        <is>
          <t>Seasonal</t>
        </is>
      </c>
    </row>
    <row r="250">
      <c r="A250" s="15">
        <f>HYPERLINK("https://shoreaquatic.com/shop/plant-pklba","Kleiner Bar 6-24")</f>
        <v/>
      </c>
      <c r="B250" s="16" t="inlineStr">
        <is>
          <t>Echinodorus 'Kleiner Bar'</t>
        </is>
      </c>
      <c r="C250" s="17" t="inlineStr"/>
      <c r="D250" s="17" t="inlineStr">
        <is>
          <t>Ask / Seasonal</t>
        </is>
      </c>
    </row>
    <row r="251">
      <c r="A251" s="15">
        <f>HYPERLINK("https://shoreaquatic.com/shop/plant-eklprs","Kleiner Prinz")</f>
        <v/>
      </c>
      <c r="B251" s="16" t="inlineStr">
        <is>
          <t>Echinodorus 'Kleiner Prinz'</t>
        </is>
      </c>
      <c r="C251" s="17" t="inlineStr">
        <is>
          <t>Small</t>
        </is>
      </c>
      <c r="D251" s="17" t="inlineStr">
        <is>
          <t>Ask / Seasonal</t>
        </is>
      </c>
    </row>
    <row r="252">
      <c r="A252" s="15">
        <f>HYPERLINK("https://shoreaquatic.com/shop/plant-eklprm","Kleiner Prinz")</f>
        <v/>
      </c>
      <c r="B252" s="16" t="inlineStr">
        <is>
          <t>Echinodorus 'Kleiner Prinz'</t>
        </is>
      </c>
      <c r="C252" s="17" t="inlineStr">
        <is>
          <t>Medium</t>
        </is>
      </c>
      <c r="D252" s="17" t="inlineStr">
        <is>
          <t>In Stock</t>
        </is>
      </c>
    </row>
    <row r="253">
      <c r="A253" s="15">
        <f>HYPERLINK("https://shoreaquatic.com/shop/plant-eklprl","Kleiner Prinz")</f>
        <v/>
      </c>
      <c r="B253" s="16" t="inlineStr">
        <is>
          <t>Echinodorus 'Kleiner Prinz'</t>
        </is>
      </c>
      <c r="C253" s="17" t="inlineStr">
        <is>
          <t>Large</t>
        </is>
      </c>
      <c r="D253" s="17" t="inlineStr">
        <is>
          <t>In Stock</t>
        </is>
      </c>
    </row>
    <row r="254">
      <c r="A254" s="15">
        <f>HYPERLINK("https://shoreaquatic.com/shop/plant-pklpr","Kleiner Prinz")</f>
        <v/>
      </c>
      <c r="B254" s="16" t="inlineStr">
        <is>
          <t>Echinodorus 'Kleiner Prinz'</t>
        </is>
      </c>
      <c r="C254" s="17" t="inlineStr"/>
      <c r="D254" s="17" t="inlineStr">
        <is>
          <t>In Stock</t>
        </is>
      </c>
    </row>
    <row r="255">
      <c r="A255" s="15">
        <f>HYPERLINK("https://shoreaquatic.com/shop/plant-pklprl","Kleiner Prinz")</f>
        <v/>
      </c>
      <c r="B255" s="16" t="inlineStr">
        <is>
          <t>Echinodorus 'Kleiner Prinz'</t>
        </is>
      </c>
      <c r="C255" s="17" t="inlineStr">
        <is>
          <t>Large</t>
        </is>
      </c>
      <c r="D255" s="17" t="inlineStr">
        <is>
          <t>Seasonal</t>
        </is>
      </c>
    </row>
    <row r="256">
      <c r="A256" s="15">
        <f>HYPERLINK("https://shoreaquatic.com/shop/plant-mdrim","Malasian Driftwood Case (12 Pieces, 6-10\")</f>
        <v/>
      </c>
      <c r="B256" s="16" t="inlineStr">
        <is>
          <t>Tristania obovata</t>
        </is>
      </c>
      <c r="C256" s="17" t="inlineStr">
        <is>
          <t>Medium</t>
        </is>
      </c>
      <c r="D256" s="17" t="inlineStr">
        <is>
          <t>In Stock</t>
        </is>
      </c>
    </row>
    <row r="257">
      <c r="A257" s="15">
        <f>HYPERLINK("https://shoreaquatic.com/shop/plant-emels","Melon")</f>
        <v/>
      </c>
      <c r="B257" s="16" t="inlineStr">
        <is>
          <t>Echinodorus osiris</t>
        </is>
      </c>
      <c r="C257" s="17" t="inlineStr">
        <is>
          <t>Small</t>
        </is>
      </c>
      <c r="D257" s="17" t="inlineStr">
        <is>
          <t>In Stock</t>
        </is>
      </c>
    </row>
    <row r="258">
      <c r="A258" s="15">
        <f>HYPERLINK("https://shoreaquatic.com/shop/plant-emelm","Melon")</f>
        <v/>
      </c>
      <c r="B258" s="16" t="inlineStr">
        <is>
          <t>Echinodorus osiris</t>
        </is>
      </c>
      <c r="C258" s="17" t="inlineStr">
        <is>
          <t>Medium</t>
        </is>
      </c>
      <c r="D258" s="17" t="inlineStr">
        <is>
          <t>In Stock</t>
        </is>
      </c>
    </row>
    <row r="259">
      <c r="A259" s="15">
        <f>HYPERLINK("https://shoreaquatic.com/shop/plant-emell","Melon")</f>
        <v/>
      </c>
      <c r="B259" s="16" t="inlineStr">
        <is>
          <t>Echinodorus osiris</t>
        </is>
      </c>
      <c r="C259" s="17" t="inlineStr">
        <is>
          <t>Large</t>
        </is>
      </c>
      <c r="D259" s="17" t="inlineStr">
        <is>
          <t>Ask / Seasonal</t>
        </is>
      </c>
    </row>
    <row r="260">
      <c r="A260" s="15">
        <f>HYPERLINK("https://shoreaquatic.com/shop/plant-emelx","Melon")</f>
        <v/>
      </c>
      <c r="B260" s="16" t="inlineStr">
        <is>
          <t>Echinodorus osiris</t>
        </is>
      </c>
      <c r="C260" s="17" t="inlineStr">
        <is>
          <t>X-Large</t>
        </is>
      </c>
      <c r="D260" s="17" t="inlineStr">
        <is>
          <t>Seasonal</t>
        </is>
      </c>
    </row>
    <row r="261">
      <c r="A261" s="15">
        <f>HYPERLINK("https://shoreaquatic.com/shop/plant-pmel","Melon")</f>
        <v/>
      </c>
      <c r="B261" s="16" t="inlineStr">
        <is>
          <t>Echinodorus osiris</t>
        </is>
      </c>
      <c r="C261" s="17" t="inlineStr"/>
      <c r="D261" s="17" t="inlineStr">
        <is>
          <t>Ask / Seasonal</t>
        </is>
      </c>
    </row>
    <row r="262">
      <c r="A262" s="15">
        <f>HYPERLINK("https://shoreaquatic.com/shop/plant-pmell","Melon")</f>
        <v/>
      </c>
      <c r="B262" s="16" t="inlineStr">
        <is>
          <t>Echinodorus osiris</t>
        </is>
      </c>
      <c r="C262" s="17" t="inlineStr">
        <is>
          <t>Large</t>
        </is>
      </c>
      <c r="D262" s="17" t="inlineStr">
        <is>
          <t>Seasonal</t>
        </is>
      </c>
    </row>
    <row r="263">
      <c r="A263" s="15">
        <f>HYPERLINK("https://shoreaquatic.com/shop/plant-emegos","Melon, Golden")</f>
        <v/>
      </c>
      <c r="B263" s="16" t="inlineStr">
        <is>
          <t>Echinodorus osiris 'Golden'</t>
        </is>
      </c>
      <c r="C263" s="17" t="inlineStr">
        <is>
          <t>Small</t>
        </is>
      </c>
      <c r="D263" s="17" t="inlineStr">
        <is>
          <t>In Stock</t>
        </is>
      </c>
    </row>
    <row r="264">
      <c r="A264" s="15">
        <f>HYPERLINK("https://shoreaquatic.com/shop/plant-emegom","Melon, Golden")</f>
        <v/>
      </c>
      <c r="B264" s="16" t="inlineStr">
        <is>
          <t>Echinodorus osiris 'Golden'</t>
        </is>
      </c>
      <c r="C264" s="17" t="inlineStr">
        <is>
          <t>Medium</t>
        </is>
      </c>
      <c r="D264" s="17" t="inlineStr">
        <is>
          <t>In Stock</t>
        </is>
      </c>
    </row>
    <row r="265">
      <c r="A265" s="15">
        <f>HYPERLINK("https://shoreaquatic.com/shop/plant-emegol","Melon, Golden")</f>
        <v/>
      </c>
      <c r="B265" s="16" t="inlineStr">
        <is>
          <t>Echinodorus osiris 'Golden'</t>
        </is>
      </c>
      <c r="C265" s="17" t="inlineStr">
        <is>
          <t>Large</t>
        </is>
      </c>
      <c r="D265" s="17" t="inlineStr">
        <is>
          <t>Ask / Seasonal</t>
        </is>
      </c>
    </row>
    <row r="266">
      <c r="A266" s="15">
        <f>HYPERLINK("https://shoreaquatic.com/shop/plant-emegox","Melon, Golden")</f>
        <v/>
      </c>
      <c r="B266" s="16" t="inlineStr">
        <is>
          <t>Echinodorus osiris 'Golden'</t>
        </is>
      </c>
      <c r="C266" s="17" t="inlineStr">
        <is>
          <t>X-Large</t>
        </is>
      </c>
      <c r="D266" s="17" t="inlineStr">
        <is>
          <t>Seasonal</t>
        </is>
      </c>
    </row>
    <row r="267">
      <c r="A267" s="15">
        <f>HYPERLINK("https://shoreaquatic.com/shop/plant-emepis","Melon, Pinwheel")</f>
        <v/>
      </c>
      <c r="B267" s="16" t="inlineStr">
        <is>
          <t>Echinodorus osiris 'Pinwheel'</t>
        </is>
      </c>
      <c r="C267" s="17" t="inlineStr">
        <is>
          <t>Small</t>
        </is>
      </c>
      <c r="D267" s="17" t="inlineStr">
        <is>
          <t>In Stock</t>
        </is>
      </c>
    </row>
    <row r="268">
      <c r="A268" s="15">
        <f>HYPERLINK("https://shoreaquatic.com/shop/plant-emepim","Melon, Pinwheel")</f>
        <v/>
      </c>
      <c r="B268" s="16" t="inlineStr">
        <is>
          <t>Echinodorus osiris 'Pinwheel'</t>
        </is>
      </c>
      <c r="C268" s="17" t="inlineStr">
        <is>
          <t>Medium</t>
        </is>
      </c>
      <c r="D268" s="17" t="inlineStr">
        <is>
          <t>Ask / Seasonal</t>
        </is>
      </c>
    </row>
    <row r="269">
      <c r="A269" s="15">
        <f>HYPERLINK("https://shoreaquatic.com/shop/plant-emepil","Melon, Pinwheel")</f>
        <v/>
      </c>
      <c r="B269" s="16" t="inlineStr">
        <is>
          <t>Echinodorus osiris 'Pinwheel'</t>
        </is>
      </c>
      <c r="C269" s="17" t="inlineStr">
        <is>
          <t>Large</t>
        </is>
      </c>
      <c r="D269" s="17" t="inlineStr">
        <is>
          <t>Ask / Seasonal</t>
        </is>
      </c>
    </row>
    <row r="270">
      <c r="A270" s="15">
        <f>HYPERLINK("https://shoreaquatic.com/shop/plant-eoris","Oriental")</f>
        <v/>
      </c>
      <c r="B270" s="16" t="inlineStr">
        <is>
          <t>Echinodorus 'Oriental'</t>
        </is>
      </c>
      <c r="C270" s="17" t="inlineStr">
        <is>
          <t>Small</t>
        </is>
      </c>
      <c r="D270" s="17" t="inlineStr">
        <is>
          <t>In Stock</t>
        </is>
      </c>
    </row>
    <row r="271">
      <c r="A271" s="15">
        <f>HYPERLINK("https://shoreaquatic.com/shop/plant-eorim","Oriental")</f>
        <v/>
      </c>
      <c r="B271" s="16" t="inlineStr">
        <is>
          <t>Echinodorus 'Oriental'</t>
        </is>
      </c>
      <c r="C271" s="17" t="inlineStr">
        <is>
          <t>Medium</t>
        </is>
      </c>
      <c r="D271" s="17" t="inlineStr">
        <is>
          <t>In Stock</t>
        </is>
      </c>
    </row>
    <row r="272">
      <c r="A272" s="15">
        <f>HYPERLINK("https://shoreaquatic.com/shop/plant-eoril","Oriental")</f>
        <v/>
      </c>
      <c r="B272" s="16" t="inlineStr">
        <is>
          <t>Echinodorus 'Oriental'</t>
        </is>
      </c>
      <c r="C272" s="17" t="inlineStr">
        <is>
          <t>Large</t>
        </is>
      </c>
      <c r="D272" s="17" t="inlineStr">
        <is>
          <t>In Stock</t>
        </is>
      </c>
    </row>
    <row r="273">
      <c r="A273" s="15">
        <f>HYPERLINK("https://shoreaquatic.com/shop/plant-eorix","Oriental")</f>
        <v/>
      </c>
      <c r="B273" s="16" t="inlineStr">
        <is>
          <t>Echinodorus 'Oriental'</t>
        </is>
      </c>
      <c r="C273" s="17" t="inlineStr">
        <is>
          <t>X-Large</t>
        </is>
      </c>
      <c r="D273" s="17" t="inlineStr">
        <is>
          <t>In Stock</t>
        </is>
      </c>
    </row>
    <row r="274">
      <c r="A274" s="15">
        <f>HYPERLINK("https://shoreaquatic.com/shop/plant-pori","Oriental 6-24")</f>
        <v/>
      </c>
      <c r="B274" s="16" t="inlineStr">
        <is>
          <t>Echinodorus 'Oriental'</t>
        </is>
      </c>
      <c r="C274" s="17" t="inlineStr"/>
      <c r="D274" s="17" t="inlineStr">
        <is>
          <t>In Stock</t>
        </is>
      </c>
    </row>
    <row r="275">
      <c r="A275" s="15">
        <f>HYPERLINK("https://shoreaquatic.com/shop/plant-eozes","Ozelot")</f>
        <v/>
      </c>
      <c r="B275" s="16" t="inlineStr">
        <is>
          <t>Echinodorus 'Ozelot'</t>
        </is>
      </c>
      <c r="C275" s="17" t="inlineStr">
        <is>
          <t>Small</t>
        </is>
      </c>
      <c r="D275" s="17" t="inlineStr">
        <is>
          <t>In Stock</t>
        </is>
      </c>
    </row>
    <row r="276">
      <c r="A276" s="15">
        <f>HYPERLINK("https://shoreaquatic.com/shop/plant-eozem","Ozelot")</f>
        <v/>
      </c>
      <c r="B276" s="16" t="inlineStr">
        <is>
          <t>Echinodorus 'Ozelot'</t>
        </is>
      </c>
      <c r="C276" s="17" t="inlineStr">
        <is>
          <t>Medium</t>
        </is>
      </c>
      <c r="D276" s="17" t="inlineStr">
        <is>
          <t>In Stock</t>
        </is>
      </c>
    </row>
    <row r="277">
      <c r="A277" s="15">
        <f>HYPERLINK("https://shoreaquatic.com/shop/plant-eozel","Ozelot")</f>
        <v/>
      </c>
      <c r="B277" s="16" t="inlineStr">
        <is>
          <t>Echinodorus 'Ozelot'</t>
        </is>
      </c>
      <c r="C277" s="17" t="inlineStr">
        <is>
          <t>Large</t>
        </is>
      </c>
      <c r="D277" s="17" t="inlineStr">
        <is>
          <t>In Stock</t>
        </is>
      </c>
    </row>
    <row r="278">
      <c r="A278" s="15">
        <f>HYPERLINK("https://shoreaquatic.com/shop/plant-eozex","Ozelot")</f>
        <v/>
      </c>
      <c r="B278" s="16" t="inlineStr">
        <is>
          <t>Echinodorus 'Ozelot'</t>
        </is>
      </c>
      <c r="C278" s="17" t="inlineStr">
        <is>
          <t>X-Large</t>
        </is>
      </c>
      <c r="D278" s="17" t="inlineStr">
        <is>
          <t>Seasonal</t>
        </is>
      </c>
    </row>
    <row r="279">
      <c r="A279" s="15">
        <f>HYPERLINK("https://shoreaquatic.com/shop/plant-eozgrx","Ozelot Green")</f>
        <v/>
      </c>
      <c r="B279" s="16" t="inlineStr">
        <is>
          <t>Echinodorus 'Ozelot green'</t>
        </is>
      </c>
      <c r="C279" s="17" t="inlineStr">
        <is>
          <t>X-Large</t>
        </is>
      </c>
      <c r="D279" s="17" t="inlineStr">
        <is>
          <t>Seasonal</t>
        </is>
      </c>
    </row>
    <row r="280">
      <c r="A280" s="15">
        <f>HYPERLINK("https://shoreaquatic.com/shop/plant-eozgrs","Ozelot, Green")</f>
        <v/>
      </c>
      <c r="B280" s="16" t="inlineStr">
        <is>
          <t>Echinodorus 'Ozelot green'</t>
        </is>
      </c>
      <c r="C280" s="17" t="inlineStr">
        <is>
          <t>Small</t>
        </is>
      </c>
      <c r="D280" s="17" t="inlineStr">
        <is>
          <t>In Stock</t>
        </is>
      </c>
    </row>
    <row r="281">
      <c r="A281" s="15">
        <f>HYPERLINK("https://shoreaquatic.com/shop/plant-eozgrm","Ozelot, Green")</f>
        <v/>
      </c>
      <c r="B281" s="16" t="inlineStr">
        <is>
          <t>Echinodorus 'Ozelot green'</t>
        </is>
      </c>
      <c r="C281" s="17" t="inlineStr">
        <is>
          <t>Medium</t>
        </is>
      </c>
      <c r="D281" s="17" t="inlineStr">
        <is>
          <t>In Stock</t>
        </is>
      </c>
    </row>
    <row r="282">
      <c r="A282" s="15">
        <f>HYPERLINK("https://shoreaquatic.com/shop/plant-eozgrl","Ozelot, Green")</f>
        <v/>
      </c>
      <c r="B282" s="16" t="inlineStr">
        <is>
          <t>Echinodorus 'Ozelot green'</t>
        </is>
      </c>
      <c r="C282" s="17" t="inlineStr">
        <is>
          <t>Large</t>
        </is>
      </c>
      <c r="D282" s="17" t="inlineStr">
        <is>
          <t>In Stock</t>
        </is>
      </c>
    </row>
    <row r="283">
      <c r="A283" s="15">
        <f>HYPERLINK("https://shoreaquatic.com/shop/plant-emirs","Pink Miracle")</f>
        <v/>
      </c>
      <c r="B283" s="16" t="inlineStr">
        <is>
          <t>Echinodorus 'Pink Miracle'</t>
        </is>
      </c>
      <c r="C283" s="17" t="inlineStr">
        <is>
          <t>Small</t>
        </is>
      </c>
      <c r="D283" s="17" t="inlineStr">
        <is>
          <t>Seasonal</t>
        </is>
      </c>
    </row>
    <row r="284">
      <c r="A284" s="15">
        <f>HYPERLINK("https://shoreaquatic.com/shop/plant-emirm","Pink Miracle")</f>
        <v/>
      </c>
      <c r="B284" s="16" t="inlineStr">
        <is>
          <t>Echinodorus 'Pink Miracle'</t>
        </is>
      </c>
      <c r="C284" s="17" t="inlineStr">
        <is>
          <t>Medium</t>
        </is>
      </c>
      <c r="D284" s="17" t="inlineStr">
        <is>
          <t>Seasonal</t>
        </is>
      </c>
    </row>
    <row r="285">
      <c r="A285" s="15">
        <f>HYPERLINK("https://shoreaquatic.com/shop/plant-emirl","Pink Miracle")</f>
        <v/>
      </c>
      <c r="B285" s="16" t="inlineStr">
        <is>
          <t>Echinodorus 'Pink Miracle'</t>
        </is>
      </c>
      <c r="C285" s="17" t="inlineStr">
        <is>
          <t>Large</t>
        </is>
      </c>
      <c r="D285" s="17" t="inlineStr">
        <is>
          <t>Seasonal</t>
        </is>
      </c>
    </row>
    <row r="286">
      <c r="A286" s="15">
        <f>HYPERLINK("https://shoreaquatic.com/shop/plant-emirx","Pink Miracle")</f>
        <v/>
      </c>
      <c r="B286" s="16" t="inlineStr">
        <is>
          <t>Echinodorus 'Pink Miracle'</t>
        </is>
      </c>
      <c r="C286" s="17" t="inlineStr">
        <is>
          <t>X-Large</t>
        </is>
      </c>
      <c r="D286" s="17" t="inlineStr">
        <is>
          <t>Seasonal</t>
        </is>
      </c>
    </row>
    <row r="287">
      <c r="A287" s="15">
        <f>HYPERLINK("https://shoreaquatic.com/shop/plant-erads","Radican")</f>
        <v/>
      </c>
      <c r="B287" s="16" t="inlineStr">
        <is>
          <t>Echinodorus cordifolius</t>
        </is>
      </c>
      <c r="C287" s="17" t="inlineStr">
        <is>
          <t>Small</t>
        </is>
      </c>
      <c r="D287" s="17" t="inlineStr">
        <is>
          <t>In Stock</t>
        </is>
      </c>
    </row>
    <row r="288">
      <c r="A288" s="15">
        <f>HYPERLINK("https://shoreaquatic.com/shop/plant-eradm","Radican")</f>
        <v/>
      </c>
      <c r="B288" s="16" t="inlineStr">
        <is>
          <t>Echinodorus cordifolius</t>
        </is>
      </c>
      <c r="C288" s="17" t="inlineStr">
        <is>
          <t>Medium</t>
        </is>
      </c>
      <c r="D288" s="17" t="inlineStr">
        <is>
          <t>In Stock</t>
        </is>
      </c>
    </row>
    <row r="289">
      <c r="A289" s="15">
        <f>HYPERLINK("https://shoreaquatic.com/shop/plant-eradl","Radican")</f>
        <v/>
      </c>
      <c r="B289" s="16" t="inlineStr">
        <is>
          <t>Echinodorus cordifolius</t>
        </is>
      </c>
      <c r="C289" s="17" t="inlineStr">
        <is>
          <t>Large</t>
        </is>
      </c>
      <c r="D289" s="17" t="inlineStr">
        <is>
          <t>In Stock</t>
        </is>
      </c>
    </row>
    <row r="290">
      <c r="A290" s="15">
        <f>HYPERLINK("https://shoreaquatic.com/shop/plant-eradx","Radican")</f>
        <v/>
      </c>
      <c r="B290" s="16" t="inlineStr">
        <is>
          <t>Echinodorus cordifolius</t>
        </is>
      </c>
      <c r="C290" s="17" t="inlineStr">
        <is>
          <t>X-Large</t>
        </is>
      </c>
      <c r="D290" s="17" t="inlineStr">
        <is>
          <t>Seasonal</t>
        </is>
      </c>
    </row>
    <row r="291">
      <c r="A291" s="15">
        <f>HYPERLINK("https://shoreaquatic.com/shop/plant-eramas","Radican, Marble Q")</f>
        <v/>
      </c>
      <c r="B291" s="16" t="inlineStr">
        <is>
          <t>Echinodorus cordifolius 'Tropica Marble Queen'</t>
        </is>
      </c>
      <c r="C291" s="17" t="inlineStr">
        <is>
          <t>Small</t>
        </is>
      </c>
      <c r="D291" s="17" t="inlineStr">
        <is>
          <t>In Stock</t>
        </is>
      </c>
    </row>
    <row r="292">
      <c r="A292" s="15">
        <f>HYPERLINK("https://shoreaquatic.com/shop/plant-eramam","Radican, Marble Q")</f>
        <v/>
      </c>
      <c r="B292" s="16" t="inlineStr">
        <is>
          <t>Echinodorus cordifolius 'Tropica Marble Queen'</t>
        </is>
      </c>
      <c r="C292" s="17" t="inlineStr">
        <is>
          <t>Medium</t>
        </is>
      </c>
      <c r="D292" s="17" t="inlineStr">
        <is>
          <t>In Stock</t>
        </is>
      </c>
    </row>
    <row r="293">
      <c r="A293" s="15">
        <f>HYPERLINK("https://shoreaquatic.com/shop/plant-eramal","Radican, Marble Q")</f>
        <v/>
      </c>
      <c r="B293" s="16" t="inlineStr">
        <is>
          <t>Echinodorus cordifolius 'Tropica Marble Queen'</t>
        </is>
      </c>
      <c r="C293" s="17" t="inlineStr">
        <is>
          <t>Large</t>
        </is>
      </c>
      <c r="D293" s="17" t="inlineStr">
        <is>
          <t>In Stock</t>
        </is>
      </c>
    </row>
    <row r="294">
      <c r="A294" s="15">
        <f>HYPERLINK("https://shoreaquatic.com/shop/plant-eramax","Radican, Marble Q")</f>
        <v/>
      </c>
      <c r="B294" s="16" t="inlineStr">
        <is>
          <t>Echinodorus cordifolius 'Tropica Marble Queen'</t>
        </is>
      </c>
      <c r="C294" s="17" t="inlineStr">
        <is>
          <t>X-Large</t>
        </is>
      </c>
      <c r="D294" s="17" t="inlineStr">
        <is>
          <t>Seasonal</t>
        </is>
      </c>
    </row>
    <row r="295">
      <c r="A295" s="15">
        <f>HYPERLINK("https://shoreaquatic.com/shop/plant-erans","Rangeri")</f>
        <v/>
      </c>
      <c r="B295" s="16" t="inlineStr">
        <is>
          <t>Echinodorus grandiflorus</t>
        </is>
      </c>
      <c r="C295" s="17" t="inlineStr">
        <is>
          <t>Small</t>
        </is>
      </c>
      <c r="D295" s="17" t="inlineStr">
        <is>
          <t>In Stock</t>
        </is>
      </c>
    </row>
    <row r="296">
      <c r="A296" s="15">
        <f>HYPERLINK("https://shoreaquatic.com/shop/plant-eranm","Rangeri")</f>
        <v/>
      </c>
      <c r="B296" s="16" t="inlineStr">
        <is>
          <t>Echinodorus grandiflorus</t>
        </is>
      </c>
      <c r="C296" s="17" t="inlineStr">
        <is>
          <t>Medium</t>
        </is>
      </c>
      <c r="D296" s="17" t="inlineStr">
        <is>
          <t>In Stock</t>
        </is>
      </c>
    </row>
    <row r="297">
      <c r="A297" s="15">
        <f>HYPERLINK("https://shoreaquatic.com/shop/plant-eranl","Rangeri")</f>
        <v/>
      </c>
      <c r="B297" s="16" t="inlineStr">
        <is>
          <t>Echinodorus grandiflorus</t>
        </is>
      </c>
      <c r="C297" s="17" t="inlineStr">
        <is>
          <t>Large</t>
        </is>
      </c>
      <c r="D297" s="17" t="inlineStr">
        <is>
          <t>In Stock</t>
        </is>
      </c>
    </row>
    <row r="298">
      <c r="A298" s="15">
        <f>HYPERLINK("https://shoreaquatic.com/shop/plant-eranx","Rangeri")</f>
        <v/>
      </c>
      <c r="B298" s="16" t="inlineStr">
        <is>
          <t>Echinodorus grandiflorus</t>
        </is>
      </c>
      <c r="C298" s="17" t="inlineStr">
        <is>
          <t>X-Large</t>
        </is>
      </c>
      <c r="D298" s="17" t="inlineStr">
        <is>
          <t>Seasonal</t>
        </is>
      </c>
    </row>
    <row r="299">
      <c r="A299" s="15">
        <f>HYPERLINK("https://shoreaquatic.com/shop/plant-erefls","Red Flame")</f>
        <v/>
      </c>
      <c r="B299" s="16" t="inlineStr">
        <is>
          <t>Echinodorus 'Red Flame'</t>
        </is>
      </c>
      <c r="C299" s="17" t="inlineStr">
        <is>
          <t>Small</t>
        </is>
      </c>
      <c r="D299" s="17" t="inlineStr">
        <is>
          <t>In Stock</t>
        </is>
      </c>
    </row>
    <row r="300">
      <c r="A300" s="15">
        <f>HYPERLINK("https://shoreaquatic.com/shop/plant-ereflm","Red Flame")</f>
        <v/>
      </c>
      <c r="B300" s="16" t="inlineStr">
        <is>
          <t>Echinodorus 'Red Flame'</t>
        </is>
      </c>
      <c r="C300" s="17" t="inlineStr">
        <is>
          <t>Medium</t>
        </is>
      </c>
      <c r="D300" s="17" t="inlineStr">
        <is>
          <t>In Stock</t>
        </is>
      </c>
    </row>
    <row r="301">
      <c r="A301" s="15">
        <f>HYPERLINK("https://shoreaquatic.com/shop/plant-erefll","Red Flame")</f>
        <v/>
      </c>
      <c r="B301" s="16" t="inlineStr">
        <is>
          <t>Echinodorus 'Red Flame'</t>
        </is>
      </c>
      <c r="C301" s="17" t="inlineStr">
        <is>
          <t>Large</t>
        </is>
      </c>
      <c r="D301" s="17" t="inlineStr">
        <is>
          <t>Ask / Seasonal</t>
        </is>
      </c>
    </row>
    <row r="302">
      <c r="A302" s="15">
        <f>HYPERLINK("https://shoreaquatic.com/shop/plant-ereflx","Red Flame")</f>
        <v/>
      </c>
      <c r="B302" s="16" t="inlineStr">
        <is>
          <t>Echinodorus 'Red Flame'</t>
        </is>
      </c>
      <c r="C302" s="17" t="inlineStr">
        <is>
          <t>X-Large</t>
        </is>
      </c>
      <c r="D302" s="17" t="inlineStr">
        <is>
          <t>Seasonal</t>
        </is>
      </c>
    </row>
    <row r="303">
      <c r="A303" s="15">
        <f>HYPERLINK("https://shoreaquatic.com/shop/plant-msci","Scissors")</f>
        <v/>
      </c>
      <c r="B303" s="16" t="inlineStr">
        <is>
          <t>Aquascaping Scissors</t>
        </is>
      </c>
      <c r="C303" s="17" t="inlineStr"/>
      <c r="D303" s="17" t="inlineStr">
        <is>
          <t>In Stock</t>
        </is>
      </c>
    </row>
    <row r="304">
      <c r="A304" s="15">
        <f>HYPERLINK("https://shoreaquatic.com/shop/plant-mspa","Spatula")</f>
        <v/>
      </c>
      <c r="B304" s="16" t="inlineStr">
        <is>
          <t>Aquascaping Spatula</t>
        </is>
      </c>
      <c r="C304" s="17" t="inlineStr"/>
      <c r="D304" s="17" t="inlineStr">
        <is>
          <t>In Stock</t>
        </is>
      </c>
    </row>
    <row r="305">
      <c r="A305" s="15">
        <f>HYPERLINK("https://shoreaquatic.com/shop/plant-mdrspx","Spider Wood (Piece, 20\")</f>
        <v/>
      </c>
      <c r="B305" s="16" t="inlineStr">
        <is>
          <t>Rhododendron bicorniculatum</t>
        </is>
      </c>
      <c r="C305" s="17" t="inlineStr">
        <is>
          <t>X-Large</t>
        </is>
      </c>
      <c r="D305" s="17" t="inlineStr">
        <is>
          <t>Seasonal</t>
        </is>
      </c>
    </row>
    <row r="306">
      <c r="A306" s="15">
        <f>HYPERLINK("https://shoreaquatic.com/shop/plant-mdrsps","Spider Wood Case (12 Pieces, 8-12\")</f>
        <v/>
      </c>
      <c r="B306" s="16" t="inlineStr">
        <is>
          <t>Rhododendron bicorniculatum</t>
        </is>
      </c>
      <c r="C306" s="17" t="inlineStr">
        <is>
          <t>Small</t>
        </is>
      </c>
      <c r="D306" s="17" t="inlineStr">
        <is>
          <t>Seasonal</t>
        </is>
      </c>
    </row>
    <row r="307">
      <c r="A307" s="15">
        <f>HYPERLINK("https://shoreaquatic.com/shop/plant-mdrspl","Spider Wood Case (3 Pieces, 16-20\")</f>
        <v/>
      </c>
      <c r="B307" s="16" t="inlineStr">
        <is>
          <t>Rhododendron bicorniculatum</t>
        </is>
      </c>
      <c r="C307" s="17" t="inlineStr">
        <is>
          <t>Large</t>
        </is>
      </c>
      <c r="D307" s="17" t="inlineStr">
        <is>
          <t>Seasonal</t>
        </is>
      </c>
    </row>
    <row r="308">
      <c r="A308" s="15">
        <f>HYPERLINK("https://shoreaquatic.com/shop/plant-mdrspm","Spider Wood Case (8 Pieces, 12-16\")</f>
        <v/>
      </c>
      <c r="B308" s="16" t="inlineStr">
        <is>
          <t>Rhododendron bicorniculatum</t>
        </is>
      </c>
      <c r="C308" s="17" t="inlineStr">
        <is>
          <t>Medium</t>
        </is>
      </c>
      <c r="D308" s="17" t="inlineStr">
        <is>
          <t>Seasonal</t>
        </is>
      </c>
    </row>
    <row r="309">
      <c r="A309" s="15">
        <f>HYPERLINK("https://shoreaquatic.com/shop/plant-mtwe","Tweezers")</f>
        <v/>
      </c>
      <c r="B309" s="16" t="inlineStr">
        <is>
          <t>Aquascaping Tweezers</t>
        </is>
      </c>
      <c r="C309" s="17" t="inlineStr"/>
      <c r="D309" s="17" t="inlineStr">
        <is>
          <t>In Stock</t>
        </is>
      </c>
    </row>
    <row r="310">
      <c r="A310" s="14" t="inlineStr">
        <is>
          <t xml:space="preserve">  Floating  (1)</t>
        </is>
      </c>
    </row>
    <row r="311">
      <c r="A311" s="15">
        <f>HYPERLINK("https://shoreaquatic.com/shop/floater-bundle","Floating Plant Bundle — Red Root Floaters, Salvinia &amp; Duckweed")</f>
        <v/>
      </c>
      <c r="B311" s="16" t="inlineStr">
        <is>
          <t>Phyllanthus fluitans, Salvinia minima, Lemna minor</t>
        </is>
      </c>
      <c r="C311" s="17" t="inlineStr"/>
      <c r="D311" s="17" t="inlineStr">
        <is>
          <t>In Stock</t>
        </is>
      </c>
    </row>
    <row r="312">
      <c r="A312" s="14" t="inlineStr">
        <is>
          <t xml:space="preserve">  Moss  (136)</t>
        </is>
      </c>
    </row>
    <row r="313">
      <c r="A313" s="15">
        <f>HYPERLINK("https://shoreaquatic.com/shop/plant-panhadr","A. Hastifolia On Wood")</f>
        <v/>
      </c>
      <c r="B313" s="16" t="inlineStr">
        <is>
          <t>Anubias hastifolia</t>
        </is>
      </c>
      <c r="C313" s="17" t="inlineStr"/>
      <c r="D313" s="17" t="inlineStr">
        <is>
          <t>Ask / Seasonal</t>
        </is>
      </c>
    </row>
    <row r="314">
      <c r="A314" s="15">
        <f>HYPERLINK("https://shoreaquatic.com/shop/plant-tcanhac","A. Hastifolia T/C Cup")</f>
        <v/>
      </c>
      <c r="B314" s="16" t="inlineStr">
        <is>
          <t>Anubias hastifolia</t>
        </is>
      </c>
      <c r="C314" s="17" t="inlineStr"/>
      <c r="D314" s="17" t="inlineStr">
        <is>
          <t>In Stock</t>
        </is>
      </c>
    </row>
    <row r="315">
      <c r="A315" s="15">
        <f>HYPERLINK("https://shoreaquatic.com/shop/plant-tcanbagoc","A. Nana 'Golden' T/C Cup")</f>
        <v/>
      </c>
      <c r="B315" s="16" t="inlineStr">
        <is>
          <t>Anubias barteri var. nana 'Golden'</t>
        </is>
      </c>
      <c r="C315" s="17" t="inlineStr"/>
      <c r="D315" s="17" t="inlineStr">
        <is>
          <t>In Stock</t>
        </is>
      </c>
    </row>
    <row r="316">
      <c r="A316" s="15">
        <f>HYPERLINK("https://shoreaquatic.com/shop/plant-tcannaicc","A. Nana 'Ice' T/C Cup")</f>
        <v/>
      </c>
      <c r="B316" s="16" t="inlineStr">
        <is>
          <t>Anubias barteri var. nana 'Ice'</t>
        </is>
      </c>
      <c r="C316" s="17" t="inlineStr"/>
      <c r="D316" s="17" t="inlineStr">
        <is>
          <t>In Stock</t>
        </is>
      </c>
    </row>
    <row r="317">
      <c r="A317" s="15">
        <f>HYPERLINK("https://shoreaquatic.com/shop/plant-pannanldr","A. Nana Narrow Leaf On Wood")</f>
        <v/>
      </c>
      <c r="B317" s="16" t="inlineStr">
        <is>
          <t>Anubias barteri var. nana 'Narrow Leaf'</t>
        </is>
      </c>
      <c r="C317" s="17" t="inlineStr"/>
      <c r="D317" s="17" t="inlineStr">
        <is>
          <t>Seasonal</t>
        </is>
      </c>
    </row>
    <row r="318">
      <c r="A318" s="15">
        <f>HYPERLINK("https://shoreaquatic.com/shop/plant-pannadr","A. Nana On Wood")</f>
        <v/>
      </c>
      <c r="B318" s="16" t="inlineStr">
        <is>
          <t>Anubias barteri var. nana</t>
        </is>
      </c>
      <c r="C318" s="17" t="inlineStr"/>
      <c r="D318" s="17" t="inlineStr">
        <is>
          <t>Seasonal</t>
        </is>
      </c>
    </row>
    <row r="319">
      <c r="A319" s="15">
        <f>HYPERLINK("https://shoreaquatic.com/shop/plant-pannapedr","A. Nana Petite On Wood")</f>
        <v/>
      </c>
      <c r="B319" s="16" t="inlineStr">
        <is>
          <t>Anubias barteri var. nana</t>
        </is>
      </c>
      <c r="C319" s="17" t="inlineStr"/>
      <c r="D319" s="17" t="inlineStr">
        <is>
          <t>Seasonal</t>
        </is>
      </c>
    </row>
    <row r="320">
      <c r="A320" s="15">
        <f>HYPERLINK("https://shoreaquatic.com/shop/plant-tcannapec","A. Nana Petite T/C Cup")</f>
        <v/>
      </c>
      <c r="B320" s="16" t="inlineStr">
        <is>
          <t>Anubias barteri var. nana 'Petite'</t>
        </is>
      </c>
      <c r="C320" s="17" t="inlineStr"/>
      <c r="D320" s="17" t="inlineStr">
        <is>
          <t>In Stock</t>
        </is>
      </c>
    </row>
    <row r="321">
      <c r="A321" s="15">
        <f>HYPERLINK("https://shoreaquatic.com/shop/plant-tcannapic","A. Nana Pinto T/C Cup")</f>
        <v/>
      </c>
      <c r="B321" s="16" t="inlineStr">
        <is>
          <t>Anubias barteri var. nana 'Pinto'</t>
        </is>
      </c>
      <c r="C321" s="17" t="inlineStr"/>
      <c r="D321" s="17" t="inlineStr">
        <is>
          <t>In Stock</t>
        </is>
      </c>
    </row>
    <row r="322">
      <c r="A322" s="15">
        <f>HYPERLINK("https://shoreaquatic.com/shop/plant-pannancdr","A. Nancon On Wood")</f>
        <v/>
      </c>
      <c r="B322" s="16" t="inlineStr">
        <is>
          <t>Anubias 'Nancon'</t>
        </is>
      </c>
      <c r="C322" s="17" t="inlineStr"/>
      <c r="D322" s="17" t="inlineStr">
        <is>
          <t>In Stock</t>
        </is>
      </c>
    </row>
    <row r="323">
      <c r="A323" s="15">
        <f>HYPERLINK("https://shoreaquatic.com/shop/plant-pannangdr","A. Nangi On Wood")</f>
        <v/>
      </c>
      <c r="B323" s="16" t="inlineStr">
        <is>
          <t>Anubias 'Nangi'</t>
        </is>
      </c>
      <c r="C323" s="17" t="inlineStr"/>
      <c r="D323" s="17" t="inlineStr">
        <is>
          <t>Ask / Seasonal</t>
        </is>
      </c>
    </row>
    <row r="324">
      <c r="A324" s="15">
        <f>HYPERLINK("https://shoreaquatic.com/shop/plant-tcalmic","Alternanthera Reineckii T/C Cup")</f>
        <v/>
      </c>
      <c r="B324" s="16" t="inlineStr">
        <is>
          <t>Alternanthera reineckii</t>
        </is>
      </c>
      <c r="C324" s="17" t="inlineStr"/>
      <c r="D324" s="17" t="inlineStr">
        <is>
          <t>In Stock</t>
        </is>
      </c>
    </row>
    <row r="325">
      <c r="A325" s="15">
        <f>HYPERLINK("https://shoreaquatic.com/shop/plant-tcalros","Alternanthera Rosernavig T/C Cup")</f>
        <v/>
      </c>
      <c r="B325" s="16" t="inlineStr">
        <is>
          <t>Alternanthera rosanervig</t>
        </is>
      </c>
      <c r="C325" s="17" t="inlineStr"/>
      <c r="D325" s="17" t="inlineStr">
        <is>
          <t>In Stock</t>
        </is>
      </c>
    </row>
    <row r="326">
      <c r="A326" s="15">
        <f>HYPERLINK("https://shoreaquatic.com/shop/plant-mamfrp","Amazon Frogbit Portion")</f>
        <v/>
      </c>
      <c r="B326" s="16" t="inlineStr">
        <is>
          <t>Limnobium laevigatum</t>
        </is>
      </c>
      <c r="C326" s="17" t="inlineStr"/>
      <c r="D326" s="17" t="inlineStr">
        <is>
          <t>In Stock</t>
        </is>
      </c>
    </row>
    <row r="327">
      <c r="A327" s="15">
        <f>HYPERLINK("https://shoreaquatic.com/shop/plant-panbadr","An. Barteri On Wood")</f>
        <v/>
      </c>
      <c r="B327" s="16" t="inlineStr">
        <is>
          <t>Anubias barteri 'Broad Leaf'</t>
        </is>
      </c>
      <c r="C327" s="17" t="inlineStr"/>
      <c r="D327" s="17" t="inlineStr">
        <is>
          <t>Ask / Seasonal</t>
        </is>
      </c>
    </row>
    <row r="328">
      <c r="A328" s="15">
        <f>HYPERLINK("https://shoreaquatic.com/shop/plant-pancofdr","An. Coffeefolia On Wood")</f>
        <v/>
      </c>
      <c r="B328" s="16" t="inlineStr">
        <is>
          <t>Anubias barteri 'Coffeefolia'</t>
        </is>
      </c>
      <c r="C328" s="17" t="inlineStr"/>
      <c r="D328" s="17" t="inlineStr">
        <is>
          <t>Seasonal</t>
        </is>
      </c>
    </row>
    <row r="329">
      <c r="A329" s="15">
        <f>HYPERLINK("https://shoreaquatic.com/shop/plant-mdwbar","Baby Tears, Dwf On Rock")</f>
        <v/>
      </c>
      <c r="B329" s="16" t="inlineStr">
        <is>
          <t>Micranthemum callitrichoides</t>
        </is>
      </c>
      <c r="C329" s="17" t="inlineStr"/>
      <c r="D329" s="17" t="inlineStr">
        <is>
          <t>Seasonal</t>
        </is>
      </c>
    </row>
    <row r="330">
      <c r="A330" s="15">
        <f>HYPERLINK("https://shoreaquatic.com/shop/plant-mdwbadr","Baby Tears, Dwf On Wood")</f>
        <v/>
      </c>
      <c r="B330" s="16" t="inlineStr">
        <is>
          <t>Micranthemum callitrichoides</t>
        </is>
      </c>
      <c r="C330" s="17" t="inlineStr"/>
      <c r="D330" s="17" t="inlineStr">
        <is>
          <t>In Stock</t>
        </is>
      </c>
    </row>
    <row r="331">
      <c r="A331" s="15">
        <f>HYPERLINK("https://shoreaquatic.com/shop/plant-mdwbarl","Baby Tears, Dwf Rock")</f>
        <v/>
      </c>
      <c r="B331" s="16" t="inlineStr">
        <is>
          <t>Micranthemum callitrichoides</t>
        </is>
      </c>
      <c r="C331" s="17" t="inlineStr">
        <is>
          <t>Large</t>
        </is>
      </c>
      <c r="D331" s="17" t="inlineStr">
        <is>
          <t>Ask / Seasonal</t>
        </is>
      </c>
    </row>
    <row r="332">
      <c r="A332" s="15">
        <f>HYPERLINK("https://shoreaquatic.com/shop/plant-tcbacwhc","Bacopa Compact White T/C Cup")</f>
        <v/>
      </c>
      <c r="B332" s="16" t="inlineStr">
        <is>
          <t>Bacopa 'Compact White'</t>
        </is>
      </c>
      <c r="C332" s="17" t="inlineStr"/>
      <c r="D332" s="17" t="inlineStr">
        <is>
          <t>Ask / Seasonal</t>
        </is>
      </c>
    </row>
    <row r="333">
      <c r="A333" s="15">
        <f>HYPERLINK("https://shoreaquatic.com/shop/plant-tcbohe","Bolbitis Heudelotti T/C Cup")</f>
        <v/>
      </c>
      <c r="B333" s="16" t="inlineStr">
        <is>
          <t>Bolbitis heudelotti</t>
        </is>
      </c>
      <c r="C333" s="17" t="inlineStr"/>
      <c r="D333" s="17" t="inlineStr">
        <is>
          <t>In Stock</t>
        </is>
      </c>
    </row>
    <row r="334">
      <c r="A334" s="15">
        <f>HYPERLINK("https://shoreaquatic.com/shop/plant-tcbubrgc","Bucephalandra Brownie 'Ghost' T/C Cup")</f>
        <v/>
      </c>
      <c r="B334" s="16" t="inlineStr">
        <is>
          <t>Bucephalandra brownie 'Ghost'</t>
        </is>
      </c>
      <c r="C334" s="17" t="inlineStr"/>
      <c r="D334" s="17" t="inlineStr">
        <is>
          <t>In Stock</t>
        </is>
      </c>
    </row>
    <row r="335">
      <c r="A335" s="15">
        <f>HYPERLINK("https://shoreaquatic.com/shop/plant-tcbubrpc","Bucephalandra Brownie 'Purple' T/C Cup")</f>
        <v/>
      </c>
      <c r="B335" s="16" t="inlineStr">
        <is>
          <t>Bucephalandra brownie 'Purple'</t>
        </is>
      </c>
      <c r="C335" s="17" t="inlineStr"/>
      <c r="D335" s="17" t="inlineStr">
        <is>
          <t>In Stock</t>
        </is>
      </c>
    </row>
    <row r="336">
      <c r="A336" s="15">
        <f>HYPERLINK("https://shoreaquatic.com/shop/plant-tcbukec","Bucephalandra Kedakang T/C Cup")</f>
        <v/>
      </c>
      <c r="B336" s="16" t="inlineStr">
        <is>
          <t>Bucephalandra kedakang</t>
        </is>
      </c>
      <c r="C336" s="17" t="inlineStr"/>
      <c r="D336" s="17" t="inlineStr">
        <is>
          <t>Ask / Seasonal</t>
        </is>
      </c>
    </row>
    <row r="337">
      <c r="A337" s="15">
        <f>HYPERLINK("https://shoreaquatic.com/shop/plant-tcbusp","Bucephalandra Sp")</f>
        <v/>
      </c>
      <c r="B337" s="16" t="inlineStr">
        <is>
          <t>Bucephalandra sp.</t>
        </is>
      </c>
      <c r="C337" s="17" t="inlineStr"/>
      <c r="D337" s="17" t="inlineStr">
        <is>
          <t>Seasonal</t>
        </is>
      </c>
    </row>
    <row r="338">
      <c r="A338" s="15">
        <f>HYPERLINK("https://shoreaquatic.com/shop/plant-tcbubaka","Bucephalandra Sp 'Batang Kawa' T/C Cup")</f>
        <v/>
      </c>
      <c r="B338" s="16" t="inlineStr">
        <is>
          <t>Bucephalandra sp. 'Batang Kawa'</t>
        </is>
      </c>
      <c r="C338" s="17" t="inlineStr"/>
      <c r="D338" s="17" t="inlineStr">
        <is>
          <t>Ask / Seasonal</t>
        </is>
      </c>
    </row>
    <row r="339">
      <c r="A339" s="15">
        <f>HYPERLINK("https://shoreaquatic.com/shop/plant-tccrbalc","C. Crispatula 'Balansae' T/C Cup")</f>
        <v/>
      </c>
      <c r="B339" s="16" t="inlineStr">
        <is>
          <t>Cryptocoryne crispatula</t>
        </is>
      </c>
      <c r="C339" s="17" t="inlineStr"/>
      <c r="D339" s="17" t="inlineStr">
        <is>
          <t>Ask / Seasonal</t>
        </is>
      </c>
    </row>
    <row r="340">
      <c r="A340" s="15">
        <f>HYPERLINK("https://shoreaquatic.com/shop/plant-tccrtonc","C. Crispatula 'Tonkinensis' T/C Cup")</f>
        <v/>
      </c>
      <c r="B340" s="16" t="inlineStr">
        <is>
          <t>Cryptocoryne crispatula 'Tonkinensis'</t>
        </is>
      </c>
      <c r="C340" s="17" t="inlineStr"/>
      <c r="D340" s="17" t="inlineStr">
        <is>
          <t>Ask / Seasonal</t>
        </is>
      </c>
    </row>
    <row r="341">
      <c r="A341" s="15">
        <f>HYPERLINK("https://shoreaquatic.com/shop/plant-tccrfl","C. Flamingo T/C Cup")</f>
        <v/>
      </c>
      <c r="B341" s="16" t="inlineStr">
        <is>
          <t>Cryptocoryne 'Flamingo'</t>
        </is>
      </c>
      <c r="C341" s="17" t="inlineStr"/>
      <c r="D341" s="17" t="inlineStr">
        <is>
          <t>Ask / Seasonal</t>
        </is>
      </c>
    </row>
    <row r="342">
      <c r="A342" s="15">
        <f>HYPERLINK("https://shoreaquatic.com/shop/plant-tccrunrc","C. Undulatus Red T/C Cup")</f>
        <v/>
      </c>
      <c r="B342" s="16" t="inlineStr">
        <is>
          <t>Cryptocoryne undulatus</t>
        </is>
      </c>
      <c r="C342" s="17" t="inlineStr"/>
      <c r="D342" s="17" t="inlineStr">
        <is>
          <t>Seasonal</t>
        </is>
      </c>
    </row>
    <row r="343">
      <c r="A343" s="15">
        <f>HYPERLINK("https://shoreaquatic.com/shop/plant-mcapldr","Cardinal Plant On Wood")</f>
        <v/>
      </c>
      <c r="B343" s="16" t="inlineStr">
        <is>
          <t>Lobelia cardinalis</t>
        </is>
      </c>
      <c r="C343" s="17" t="inlineStr"/>
      <c r="D343" s="17" t="inlineStr">
        <is>
          <t>In Stock</t>
        </is>
      </c>
    </row>
    <row r="344">
      <c r="A344" s="15">
        <f>HYPERLINK("https://shoreaquatic.com/shop/plant-mchmom","Christmas Moss Mat")</f>
        <v/>
      </c>
      <c r="B344" s="16" t="inlineStr">
        <is>
          <t>Vesicularia montagnei</t>
        </is>
      </c>
      <c r="C344" s="17" t="inlineStr"/>
      <c r="D344" s="17" t="inlineStr">
        <is>
          <t>Ask / Seasonal</t>
        </is>
      </c>
    </row>
    <row r="345">
      <c r="A345" s="15">
        <f>HYPERLINK("https://shoreaquatic.com/shop/plant-mchmop","Christmas Moss Portion")</f>
        <v/>
      </c>
      <c r="B345" s="16" t="inlineStr">
        <is>
          <t>Vesicularia montagnei</t>
        </is>
      </c>
      <c r="C345" s="17" t="inlineStr"/>
      <c r="D345" s="17" t="inlineStr">
        <is>
          <t>Ask / Seasonal</t>
        </is>
      </c>
    </row>
    <row r="346">
      <c r="A346" s="15">
        <f>HYPERLINK("https://shoreaquatic.com/shop/plant-tcchmoc","Christmas Moss T/C Cup")</f>
        <v/>
      </c>
      <c r="B346" s="16" t="inlineStr">
        <is>
          <t>Vesicularia montagnei</t>
        </is>
      </c>
      <c r="C346" s="17" t="inlineStr"/>
      <c r="D346" s="17" t="inlineStr">
        <is>
          <t>Ask / Seasonal</t>
        </is>
      </c>
    </row>
    <row r="347">
      <c r="A347" s="15">
        <f>HYPERLINK("https://shoreaquatic.com/shop/plant-tccupasst","Cups Assorted")</f>
        <v/>
      </c>
      <c r="B347" s="16" t="inlineStr">
        <is>
          <t>Assorted Tissue Culture cups</t>
        </is>
      </c>
      <c r="C347" s="17" t="inlineStr"/>
      <c r="D347" s="17" t="inlineStr">
        <is>
          <t>In Stock</t>
        </is>
      </c>
    </row>
    <row r="348">
      <c r="A348" s="15">
        <f>HYPERLINK("https://shoreaquatic.com/shop/plant-mdwbam","Dwf Baby Tears Mat")</f>
        <v/>
      </c>
      <c r="B348" s="16" t="inlineStr">
        <is>
          <t>Micranthemum callitrichoides</t>
        </is>
      </c>
      <c r="C348" s="17" t="inlineStr"/>
      <c r="D348" s="17" t="inlineStr">
        <is>
          <t>In Stock</t>
        </is>
      </c>
    </row>
    <row r="349">
      <c r="A349" s="15">
        <f>HYPERLINK("https://shoreaquatic.com/shop/plant-mdwbamx","Dwf Baby Tears Mat")</f>
        <v/>
      </c>
      <c r="B349" s="16" t="inlineStr">
        <is>
          <t>Micranthemum callitrichoides</t>
        </is>
      </c>
      <c r="C349" s="17" t="inlineStr">
        <is>
          <t>Large</t>
        </is>
      </c>
      <c r="D349" s="17" t="inlineStr">
        <is>
          <t>Seasonal</t>
        </is>
      </c>
    </row>
    <row r="350">
      <c r="A350" s="15">
        <f>HYPERLINK("https://shoreaquatic.com/shop/plant-tceccoap","Echinodorus 'Apart' T/C Cup")</f>
        <v/>
      </c>
      <c r="B350" s="16" t="inlineStr">
        <is>
          <t>Echinodorus cordifolius 'Apart'</t>
        </is>
      </c>
      <c r="C350" s="17" t="inlineStr"/>
      <c r="D350" s="17" t="inlineStr">
        <is>
          <t>Ask / Seasonal</t>
        </is>
      </c>
    </row>
    <row r="351">
      <c r="A351" s="15">
        <f>HYPERLINK("https://shoreaquatic.com/shop/plant-tcecma","Echinodorus Major T/C Cup")</f>
        <v/>
      </c>
      <c r="B351" s="16" t="inlineStr">
        <is>
          <t>Echinodorus major</t>
        </is>
      </c>
      <c r="C351" s="17" t="inlineStr"/>
      <c r="D351" s="17" t="inlineStr">
        <is>
          <t>Ask / Seasonal</t>
        </is>
      </c>
    </row>
    <row r="352">
      <c r="A352" s="15">
        <f>HYPERLINK("https://shoreaquatic.com/shop/plant-tcelemc","Eleocharis Acicularis Mini T/C Cup")</f>
        <v/>
      </c>
      <c r="B352" s="16" t="inlineStr">
        <is>
          <t>Eleocharis acicularis 'Mini'</t>
        </is>
      </c>
      <c r="C352" s="17" t="inlineStr"/>
      <c r="D352" s="17" t="inlineStr">
        <is>
          <t>In Stock</t>
        </is>
      </c>
    </row>
    <row r="353">
      <c r="A353" s="15">
        <f>HYPERLINK("https://shoreaquatic.com/shop/plant-tcelec","Eleocharis Acicularis T/C Cup")</f>
        <v/>
      </c>
      <c r="B353" s="16" t="inlineStr">
        <is>
          <t>Eleocharis acicularis</t>
        </is>
      </c>
      <c r="C353" s="17" t="inlineStr"/>
      <c r="D353" s="17" t="inlineStr">
        <is>
          <t>In Stock</t>
        </is>
      </c>
    </row>
    <row r="354">
      <c r="A354" s="15">
        <f>HYPERLINK("https://shoreaquatic.com/shop/plant-tcelpac","Eleocharis Parvula T/C Cup")</f>
        <v/>
      </c>
      <c r="B354" s="16" t="inlineStr">
        <is>
          <t>Eleocharis parvula</t>
        </is>
      </c>
      <c r="C354" s="17" t="inlineStr"/>
      <c r="D354" s="17" t="inlineStr">
        <is>
          <t>In Stock</t>
        </is>
      </c>
    </row>
    <row r="355">
      <c r="A355" s="15">
        <f>HYPERLINK("https://shoreaquatic.com/shop/plant-tcercic","Eriocaulon Polaris T/C Cup")</f>
        <v/>
      </c>
      <c r="B355" s="16" t="inlineStr">
        <is>
          <t>Eriocaulon polaris</t>
        </is>
      </c>
      <c r="C355" s="17" t="inlineStr"/>
      <c r="D355" s="17" t="inlineStr">
        <is>
          <t>Ask / Seasonal</t>
        </is>
      </c>
    </row>
    <row r="356">
      <c r="A356" s="15">
        <f>HYPERLINK("https://shoreaquatic.com/shop/plant-mervi","Eriocaulon Sp. Vietnam")</f>
        <v/>
      </c>
      <c r="B356" s="16" t="inlineStr">
        <is>
          <t>Eriocaulon sp. Vietnam</t>
        </is>
      </c>
      <c r="C356" s="17" t="inlineStr"/>
      <c r="D356" s="17" t="inlineStr">
        <is>
          <t>In Stock</t>
        </is>
      </c>
    </row>
    <row r="357">
      <c r="A357" s="15">
        <f>HYPERLINK("https://shoreaquatic.com/shop/plant-mfinom","Fissidens Nobilis Mat")</f>
        <v/>
      </c>
      <c r="B357" s="16" t="inlineStr">
        <is>
          <t>Fissidens nobilis</t>
        </is>
      </c>
      <c r="C357" s="17" t="inlineStr"/>
      <c r="D357" s="17" t="inlineStr">
        <is>
          <t>In Stock</t>
        </is>
      </c>
    </row>
    <row r="358">
      <c r="A358" s="15">
        <f>HYPERLINK("https://shoreaquatic.com/shop/plant-mflmom","Flame Moss Mat")</f>
        <v/>
      </c>
      <c r="B358" s="16" t="inlineStr">
        <is>
          <t>Taxiphyllum 'Flame moss'</t>
        </is>
      </c>
      <c r="C358" s="17" t="inlineStr"/>
      <c r="D358" s="17" t="inlineStr">
        <is>
          <t>Ask / Seasonal</t>
        </is>
      </c>
    </row>
    <row r="359">
      <c r="A359" s="15">
        <f>HYPERLINK("https://shoreaquatic.com/shop/plant-mflmop","Flame Moss Portion")</f>
        <v/>
      </c>
      <c r="B359" s="16" t="inlineStr">
        <is>
          <t>Taxiphyllum sp. 'Flame Moss'</t>
        </is>
      </c>
      <c r="C359" s="17" t="inlineStr"/>
      <c r="D359" s="17" t="inlineStr">
        <is>
          <t>Ask / Seasonal</t>
        </is>
      </c>
    </row>
    <row r="360">
      <c r="A360" s="15">
        <f>HYPERLINK("https://shoreaquatic.com/shop/plant-mglom","Glossostigma Mat")</f>
        <v/>
      </c>
      <c r="B360" s="16" t="inlineStr">
        <is>
          <t>Glossostigma elatinoides</t>
        </is>
      </c>
      <c r="C360" s="17" t="inlineStr"/>
      <c r="D360" s="17" t="inlineStr">
        <is>
          <t>In Stock</t>
        </is>
      </c>
    </row>
    <row r="361">
      <c r="A361" s="15">
        <f>HYPERLINK("https://shoreaquatic.com/shop/plant-mgloml","Glossostigma Mat")</f>
        <v/>
      </c>
      <c r="B361" s="16" t="inlineStr">
        <is>
          <t>Glossostigma elatinoides</t>
        </is>
      </c>
      <c r="C361" s="17" t="inlineStr">
        <is>
          <t>Large</t>
        </is>
      </c>
      <c r="D361" s="17" t="inlineStr">
        <is>
          <t>In Stock</t>
        </is>
      </c>
    </row>
    <row r="362">
      <c r="A362" s="15">
        <f>HYPERLINK("https://shoreaquatic.com/shop/plant-tcgloc","Glossostigma Tc Cup")</f>
        <v/>
      </c>
      <c r="B362" s="16" t="inlineStr">
        <is>
          <t>Glossostigma elatinoides</t>
        </is>
      </c>
      <c r="C362" s="17" t="inlineStr"/>
      <c r="D362" s="17" t="inlineStr">
        <is>
          <t>In Stock</t>
        </is>
      </c>
    </row>
    <row r="363">
      <c r="A363" s="15">
        <f>HYPERLINK("https://shoreaquatic.com/shop/plant-mdwham","Hairgrass, Dwf Mat")</f>
        <v/>
      </c>
      <c r="B363" s="16" t="inlineStr">
        <is>
          <t>Eleocharis acicularis</t>
        </is>
      </c>
      <c r="C363" s="17" t="inlineStr"/>
      <c r="D363" s="17" t="inlineStr">
        <is>
          <t>In Stock</t>
        </is>
      </c>
    </row>
    <row r="364">
      <c r="A364" s="15">
        <f>HYPERLINK("https://shoreaquatic.com/shop/plant-mdwhaml","Hairgrass, Dwf Mat")</f>
        <v/>
      </c>
      <c r="B364" s="16" t="inlineStr">
        <is>
          <t>Eleocharis acicularis</t>
        </is>
      </c>
      <c r="C364" s="17" t="inlineStr">
        <is>
          <t>Large</t>
        </is>
      </c>
      <c r="D364" s="17" t="inlineStr">
        <is>
          <t>In Stock</t>
        </is>
      </c>
    </row>
    <row r="365">
      <c r="A365" s="15">
        <f>HYPERLINK("https://shoreaquatic.com/shop/plant-tcheblc","Helanthium 'B.L. Chain' T/C Cup")</f>
        <v/>
      </c>
      <c r="B365" s="16" t="inlineStr">
        <is>
          <t>Helanthium 'quadricostatus'</t>
        </is>
      </c>
      <c r="C365" s="17" t="inlineStr"/>
      <c r="D365" s="17" t="inlineStr">
        <is>
          <t>In Stock</t>
        </is>
      </c>
    </row>
    <row r="366">
      <c r="A366" s="15">
        <f>HYPERLINK("https://shoreaquatic.com/shop/plant-tchecac","Hemianthus Callitrichoides T/C Cup")</f>
        <v/>
      </c>
      <c r="B366" s="16" t="inlineStr">
        <is>
          <t>Micranthemum callitrichoides</t>
        </is>
      </c>
      <c r="C366" s="17" t="inlineStr"/>
      <c r="D366" s="17" t="inlineStr">
        <is>
          <t>In Stock</t>
        </is>
      </c>
    </row>
    <row r="367">
      <c r="A367" s="15">
        <f>HYPERLINK("https://shoreaquatic.com/shop/plant-tchemic","Hemianthus Micranthemoides T/C Cup")</f>
        <v/>
      </c>
      <c r="B367" s="16" t="inlineStr">
        <is>
          <t>Micranthemum micranthemoides</t>
        </is>
      </c>
      <c r="C367" s="17" t="inlineStr"/>
      <c r="D367" s="17" t="inlineStr">
        <is>
          <t>In Stock</t>
        </is>
      </c>
    </row>
    <row r="368">
      <c r="A368" s="15">
        <f>HYPERLINK("https://shoreaquatic.com/shop/plant-mhyjam","Hydrocotyle 'Japan' Mat")</f>
        <v/>
      </c>
      <c r="B368" s="16" t="inlineStr">
        <is>
          <t>Hydrocotyle tripartita</t>
        </is>
      </c>
      <c r="C368" s="17" t="inlineStr"/>
      <c r="D368" s="17" t="inlineStr">
        <is>
          <t>In Stock</t>
        </is>
      </c>
    </row>
    <row r="369">
      <c r="A369" s="15">
        <f>HYPERLINK("https://shoreaquatic.com/shop/plant-mhyjaml","Hydrocotyle Japan Mat")</f>
        <v/>
      </c>
      <c r="B369" s="16" t="inlineStr">
        <is>
          <t>Hydrocotyle tripartita</t>
        </is>
      </c>
      <c r="C369" s="17" t="inlineStr">
        <is>
          <t>Large</t>
        </is>
      </c>
      <c r="D369" s="17" t="inlineStr">
        <is>
          <t>In Stock</t>
        </is>
      </c>
    </row>
    <row r="370">
      <c r="A370" s="15">
        <f>HYPERLINK("https://shoreaquatic.com/shop/plant-tchyarc","Hygrophila Araguaia T/C Cup")</f>
        <v/>
      </c>
      <c r="B370" s="16" t="inlineStr">
        <is>
          <t>Hygrophila lancea 'Araguaia'</t>
        </is>
      </c>
      <c r="C370" s="17" t="inlineStr"/>
      <c r="D370" s="17" t="inlineStr">
        <is>
          <t>Seasonal</t>
        </is>
      </c>
    </row>
    <row r="371">
      <c r="A371" s="15">
        <f>HYPERLINK("https://shoreaquatic.com/shop/plant-tchychc","Hygrophila Chai T/C Cup")</f>
        <v/>
      </c>
      <c r="B371" s="16" t="inlineStr">
        <is>
          <t>Hygrophila 'Chai'</t>
        </is>
      </c>
      <c r="C371" s="17" t="inlineStr"/>
      <c r="D371" s="17" t="inlineStr">
        <is>
          <t>Ask / Seasonal</t>
        </is>
      </c>
    </row>
    <row r="372">
      <c r="A372" s="15">
        <f>HYPERLINK("https://shoreaquatic.com/shop/plant-tchypic","Hygrophila Pinnatifida T/C Cup")</f>
        <v/>
      </c>
      <c r="B372" s="16" t="inlineStr">
        <is>
          <t>Hygrophila pinnatifida</t>
        </is>
      </c>
      <c r="C372" s="17" t="inlineStr"/>
      <c r="D372" s="17" t="inlineStr">
        <is>
          <t>In Stock</t>
        </is>
      </c>
    </row>
    <row r="373">
      <c r="A373" s="15">
        <f>HYPERLINK("https://shoreaquatic.com/shop/plant-tchysic","Hygrophila Siamensis T/C Cup")</f>
        <v/>
      </c>
      <c r="B373" s="16" t="inlineStr">
        <is>
          <t>Hygrophila corymbosa 'Siamensis'</t>
        </is>
      </c>
      <c r="C373" s="17" t="inlineStr"/>
      <c r="D373" s="17" t="inlineStr">
        <is>
          <t>Seasonal</t>
        </is>
      </c>
    </row>
    <row r="374">
      <c r="A374" s="15">
        <f>HYPERLINK("https://shoreaquatic.com/shop/plant-tchytrc","Hygrophila Tripartita T/C Cup")</f>
        <v/>
      </c>
      <c r="B374" s="16" t="inlineStr">
        <is>
          <t>Hydrocotyle tripartita</t>
        </is>
      </c>
      <c r="C374" s="17" t="inlineStr"/>
      <c r="D374" s="17" t="inlineStr">
        <is>
          <t>In Stock</t>
        </is>
      </c>
    </row>
    <row r="375">
      <c r="A375" s="15">
        <f>HYPERLINK("https://shoreaquatic.com/shop/plant-mjafe","Java Fern")</f>
        <v/>
      </c>
      <c r="B375" s="16" t="inlineStr">
        <is>
          <t>Microsorum pteropus</t>
        </is>
      </c>
      <c r="C375" s="17" t="inlineStr"/>
      <c r="D375" s="17" t="inlineStr">
        <is>
          <t>In Stock</t>
        </is>
      </c>
    </row>
    <row r="376">
      <c r="A376" s="15">
        <f>HYPERLINK("https://shoreaquatic.com/shop/plant-mjafelg","Java Fern")</f>
        <v/>
      </c>
      <c r="B376" s="16" t="inlineStr">
        <is>
          <t>Microsorum pteropus</t>
        </is>
      </c>
      <c r="C376" s="17" t="inlineStr">
        <is>
          <t>Large</t>
        </is>
      </c>
      <c r="D376" s="17" t="inlineStr">
        <is>
          <t>Seasonal</t>
        </is>
      </c>
    </row>
    <row r="377">
      <c r="A377" s="15">
        <f>HYPERLINK("https://shoreaquatic.com/shop/plant-mjafemh","Java Fern - 1/2 Mat")</f>
        <v/>
      </c>
      <c r="B377" s="16" t="inlineStr">
        <is>
          <t>Microsorum pteropus</t>
        </is>
      </c>
      <c r="C377" s="17" t="inlineStr"/>
      <c r="D377" s="17" t="inlineStr">
        <is>
          <t>In Stock</t>
        </is>
      </c>
    </row>
    <row r="378">
      <c r="A378" s="15">
        <f>HYPERLINK("https://shoreaquatic.com/shop/plant-mjafela","Java Fern Lace")</f>
        <v/>
      </c>
      <c r="B378" s="16" t="inlineStr">
        <is>
          <t>Microsorum pteropus 'Windelov'</t>
        </is>
      </c>
      <c r="C378" s="17" t="inlineStr"/>
      <c r="D378" s="17" t="inlineStr">
        <is>
          <t>In Stock</t>
        </is>
      </c>
    </row>
    <row r="379">
      <c r="A379" s="15">
        <f>HYPERLINK("https://shoreaquatic.com/shop/plant-mjafemat","Java Fern Mat")</f>
        <v/>
      </c>
      <c r="B379" s="16" t="inlineStr">
        <is>
          <t>Microsorum pteropus</t>
        </is>
      </c>
      <c r="C379" s="17" t="inlineStr"/>
      <c r="D379" s="17" t="inlineStr">
        <is>
          <t>In Stock</t>
        </is>
      </c>
    </row>
    <row r="380">
      <c r="A380" s="15">
        <f>HYPERLINK("https://shoreaquatic.com/shop/plant-mjafeml","Java Fern Mat")</f>
        <v/>
      </c>
      <c r="B380" s="16" t="inlineStr">
        <is>
          <t>Microsorum pteropus</t>
        </is>
      </c>
      <c r="C380" s="17" t="inlineStr">
        <is>
          <t>Large</t>
        </is>
      </c>
      <c r="D380" s="17" t="inlineStr">
        <is>
          <t>Seasonal</t>
        </is>
      </c>
    </row>
    <row r="381">
      <c r="A381" s="15">
        <f>HYPERLINK("https://shoreaquatic.com/shop/plant-mjafenlmat","Java Fern Narrow Leaf Mat")</f>
        <v/>
      </c>
      <c r="B381" s="16" t="inlineStr">
        <is>
          <t>Microsorum pteropus 'Narrow Leaf'</t>
        </is>
      </c>
      <c r="C381" s="17" t="inlineStr"/>
      <c r="D381" s="17" t="inlineStr">
        <is>
          <t>In Stock</t>
        </is>
      </c>
    </row>
    <row r="382">
      <c r="A382" s="15">
        <f>HYPERLINK("https://shoreaquatic.com/shop/plant-mjafer","Java Fern On Rock")</f>
        <v/>
      </c>
      <c r="B382" s="16" t="inlineStr">
        <is>
          <t>Microsorum pteropus</t>
        </is>
      </c>
      <c r="C382" s="17" t="inlineStr"/>
      <c r="D382" s="17" t="inlineStr">
        <is>
          <t>Seasonal</t>
        </is>
      </c>
    </row>
    <row r="383">
      <c r="A383" s="15">
        <f>HYPERLINK("https://shoreaquatic.com/shop/plant-mjafetr","Java Fern Trident")</f>
        <v/>
      </c>
      <c r="B383" s="16" t="inlineStr">
        <is>
          <t>Microsorum pteropus 'Trident'</t>
        </is>
      </c>
      <c r="C383" s="17" t="inlineStr"/>
      <c r="D383" s="17" t="inlineStr">
        <is>
          <t>Seasonal</t>
        </is>
      </c>
    </row>
    <row r="384">
      <c r="A384" s="15">
        <f>HYPERLINK("https://shoreaquatic.com/shop/plant-mjamom","Java Moss Mat")</f>
        <v/>
      </c>
      <c r="B384" s="16" t="inlineStr">
        <is>
          <t>Taxiphyllum barbieri</t>
        </is>
      </c>
      <c r="C384" s="17" t="inlineStr"/>
      <c r="D384" s="17" t="inlineStr">
        <is>
          <t>Ask / Seasonal</t>
        </is>
      </c>
    </row>
    <row r="385">
      <c r="A385" s="15">
        <f>HYPERLINK("https://shoreaquatic.com/shop/plant-mjamoml","Java Moss Mat")</f>
        <v/>
      </c>
      <c r="B385" s="16" t="inlineStr">
        <is>
          <t>Taxiphyllum barbieri</t>
        </is>
      </c>
      <c r="C385" s="17" t="inlineStr">
        <is>
          <t>Large</t>
        </is>
      </c>
      <c r="D385" s="17" t="inlineStr">
        <is>
          <t>Seasonal</t>
        </is>
      </c>
    </row>
    <row r="386">
      <c r="A386" s="15">
        <f>HYPERLINK("https://shoreaquatic.com/shop/plant-mjamodr","Java Moss On Wood")</f>
        <v/>
      </c>
      <c r="B386" s="16" t="inlineStr">
        <is>
          <t>Taxiphyllum barbieri</t>
        </is>
      </c>
      <c r="C386" s="17" t="inlineStr"/>
      <c r="D386" s="17" t="inlineStr">
        <is>
          <t>Seasonal</t>
        </is>
      </c>
    </row>
    <row r="387">
      <c r="A387" s="15">
        <f>HYPERLINK("https://shoreaquatic.com/shop/plant-mjamop","Java Moss Portion")</f>
        <v/>
      </c>
      <c r="B387" s="16" t="inlineStr">
        <is>
          <t>Taxiphyllum barbieri</t>
        </is>
      </c>
      <c r="C387" s="17" t="inlineStr"/>
      <c r="D387" s="17" t="inlineStr">
        <is>
          <t>In Stock</t>
        </is>
      </c>
    </row>
    <row r="388">
      <c r="A388" s="15">
        <f>HYPERLINK("https://shoreaquatic.com/shop/plant-mjamopl","Java Moss Portion")</f>
        <v/>
      </c>
      <c r="B388" s="16" t="inlineStr">
        <is>
          <t>Taxiphyllum barbieri</t>
        </is>
      </c>
      <c r="C388" s="17" t="inlineStr">
        <is>
          <t>Large</t>
        </is>
      </c>
      <c r="D388" s="17" t="inlineStr">
        <is>
          <t>Seasonal</t>
        </is>
      </c>
    </row>
    <row r="389">
      <c r="A389" s="15">
        <f>HYPERLINK("https://shoreaquatic.com/shop/plant-mjamopx","Java Moss Portion")</f>
        <v/>
      </c>
      <c r="B389" s="16" t="inlineStr">
        <is>
          <t>Taxiphyllum barbieri</t>
        </is>
      </c>
      <c r="C389" s="17" t="inlineStr">
        <is>
          <t>X-Large</t>
        </is>
      </c>
      <c r="D389" s="17" t="inlineStr">
        <is>
          <t>Seasonal</t>
        </is>
      </c>
    </row>
    <row r="390">
      <c r="A390" s="15">
        <f>HYPERLINK("https://shoreaquatic.com/shop/plant-tclablc","Lagenandra Bleeding Heart T/C Cup")</f>
        <v/>
      </c>
      <c r="B390" s="16" t="inlineStr">
        <is>
          <t>Lagenandra 'Bleeding Heart'</t>
        </is>
      </c>
      <c r="C390" s="17" t="inlineStr"/>
      <c r="D390" s="17" t="inlineStr">
        <is>
          <t>In Stock</t>
        </is>
      </c>
    </row>
    <row r="391">
      <c r="A391" s="15">
        <f>HYPERLINK("https://shoreaquatic.com/shop/plant-tclibrc","Lilaeopsis Brasiliensis T/C Cup")</f>
        <v/>
      </c>
      <c r="B391" s="16" t="inlineStr">
        <is>
          <t>Lilaeopsis brasiliensis</t>
        </is>
      </c>
      <c r="C391" s="17" t="inlineStr"/>
      <c r="D391" s="17" t="inlineStr">
        <is>
          <t>Ask / Seasonal</t>
        </is>
      </c>
    </row>
    <row r="392">
      <c r="A392" s="15">
        <f>HYPERLINK("https://shoreaquatic.com/shop/plant-mliun","Littorella Uniflora")</f>
        <v/>
      </c>
      <c r="B392" s="16" t="inlineStr">
        <is>
          <t>Littorella uniflora</t>
        </is>
      </c>
      <c r="C392" s="17" t="inlineStr"/>
      <c r="D392" s="17" t="inlineStr">
        <is>
          <t>In Stock</t>
        </is>
      </c>
    </row>
    <row r="393">
      <c r="A393" s="15">
        <f>HYPERLINK("https://shoreaquatic.com/shop/plant-tclocac","Lobelia Cardinalis T/C Cup")</f>
        <v/>
      </c>
      <c r="B393" s="16" t="inlineStr">
        <is>
          <t>Lobelia cardinalis</t>
        </is>
      </c>
      <c r="C393" s="17" t="inlineStr"/>
      <c r="D393" s="17" t="inlineStr">
        <is>
          <t>In Stock</t>
        </is>
      </c>
    </row>
    <row r="394">
      <c r="A394" s="15">
        <f>HYPERLINK("https://shoreaquatic.com/shop/plant-tcluindo","Ludwigia Inclinata 'Dark Orange' T/C Cup")</f>
        <v/>
      </c>
      <c r="B394" s="16" t="inlineStr">
        <is>
          <t>Ludwigia inclinata 'Dark Orange'</t>
        </is>
      </c>
      <c r="C394" s="17" t="inlineStr"/>
      <c r="D394" s="17" t="inlineStr">
        <is>
          <t>Ask / Seasonal</t>
        </is>
      </c>
    </row>
    <row r="395">
      <c r="A395" s="15">
        <f>HYPERLINK("https://shoreaquatic.com/shop/plant-mmimoml","M. 'Monte Carlo' Mat")</f>
        <v/>
      </c>
      <c r="B395" s="16" t="inlineStr">
        <is>
          <t>Micranthemum tweediei 'Monte Carlo'</t>
        </is>
      </c>
      <c r="C395" s="17" t="inlineStr">
        <is>
          <t>Large</t>
        </is>
      </c>
      <c r="D395" s="17" t="inlineStr">
        <is>
          <t>In Stock</t>
        </is>
      </c>
    </row>
    <row r="396">
      <c r="A396" s="15">
        <f>HYPERLINK("https://shoreaquatic.com/shop/plant-tcmimoc","M. Monte Carlo Tc Cup")</f>
        <v/>
      </c>
      <c r="B396" s="16" t="inlineStr">
        <is>
          <t>Micranthemum 'Monte Carlo'</t>
        </is>
      </c>
      <c r="C396" s="17" t="inlineStr"/>
      <c r="D396" s="17" t="inlineStr">
        <is>
          <t>In Stock</t>
        </is>
      </c>
    </row>
    <row r="397">
      <c r="A397" s="15">
        <f>HYPERLINK("https://shoreaquatic.com/shop/plant-tcmahic","Marsilea Hirsuta Tc Cup")</f>
        <v/>
      </c>
      <c r="B397" s="16" t="inlineStr">
        <is>
          <t>Marsilea hirsuta</t>
        </is>
      </c>
      <c r="C397" s="17" t="inlineStr"/>
      <c r="D397" s="17" t="inlineStr">
        <is>
          <t>In Stock</t>
        </is>
      </c>
    </row>
    <row r="398">
      <c r="A398" s="15">
        <f>HYPERLINK("https://shoreaquatic.com/shop/plant-mmimom","Micranthemum 'Monte Carlo' Mat")</f>
        <v/>
      </c>
      <c r="B398" s="16" t="inlineStr">
        <is>
          <t>Micranthemum tweediei 'Monte Carlo'</t>
        </is>
      </c>
      <c r="C398" s="17" t="inlineStr"/>
      <c r="D398" s="17" t="inlineStr">
        <is>
          <t>In Stock</t>
        </is>
      </c>
    </row>
    <row r="399">
      <c r="A399" s="15">
        <f>HYPERLINK("https://shoreaquatic.com/shop/plant-mmisw","Micro Sword")</f>
        <v/>
      </c>
      <c r="B399" s="16" t="inlineStr">
        <is>
          <t>Lilaeopsis brasiliensis</t>
        </is>
      </c>
      <c r="C399" s="17" t="inlineStr"/>
      <c r="D399" s="17" t="inlineStr">
        <is>
          <t>Ask / Seasonal</t>
        </is>
      </c>
    </row>
    <row r="400">
      <c r="A400" s="15">
        <f>HYPERLINK("https://shoreaquatic.com/shop/plant-mmiswsfh","Micro Sword - 1/2 Sq. Ft")</f>
        <v/>
      </c>
      <c r="B400" s="16" t="inlineStr">
        <is>
          <t>Lilaeopsis brasiliensis</t>
        </is>
      </c>
      <c r="C400" s="17" t="inlineStr"/>
      <c r="D400" s="17" t="inlineStr">
        <is>
          <t>Seasonal</t>
        </is>
      </c>
    </row>
    <row r="401">
      <c r="A401" s="15">
        <f>HYPERLINK("https://shoreaquatic.com/shop/plant-mmiswsf","Micro Sword - Sf")</f>
        <v/>
      </c>
      <c r="B401" s="16" t="inlineStr">
        <is>
          <t>Lilaeopsis brasiliensis</t>
        </is>
      </c>
      <c r="C401" s="17" t="inlineStr"/>
      <c r="D401" s="17" t="inlineStr">
        <is>
          <t>In Stock</t>
        </is>
      </c>
    </row>
    <row r="402">
      <c r="A402" s="15">
        <f>HYPERLINK("https://shoreaquatic.com/shop/plant-mmiswm","Micro Sword Mat")</f>
        <v/>
      </c>
      <c r="B402" s="16" t="inlineStr">
        <is>
          <t>Lilaeopsis brasiliensis</t>
        </is>
      </c>
      <c r="C402" s="17" t="inlineStr"/>
      <c r="D402" s="17" t="inlineStr">
        <is>
          <t>In Stock</t>
        </is>
      </c>
    </row>
    <row r="403">
      <c r="A403" s="15">
        <f>HYPERLINK("https://shoreaquatic.com/shop/plant-mmiswml","Micro Sword Mat")</f>
        <v/>
      </c>
      <c r="B403" s="16" t="inlineStr">
        <is>
          <t>Lilaeopsis brasiliensis</t>
        </is>
      </c>
      <c r="C403" s="17" t="inlineStr">
        <is>
          <t>Large</t>
        </is>
      </c>
      <c r="D403" s="17" t="inlineStr">
        <is>
          <t>Seasonal</t>
        </is>
      </c>
    </row>
    <row r="404">
      <c r="A404" s="15">
        <f>HYPERLINK("https://shoreaquatic.com/shop/plant-tcmiptnalc","Microsorum Pteropus 'Narrow Leaf Red'")</f>
        <v/>
      </c>
      <c r="B404" s="16" t="inlineStr">
        <is>
          <t>Microsorum pteropus 'narrow leaf red'</t>
        </is>
      </c>
      <c r="C404" s="17" t="inlineStr"/>
      <c r="D404" s="17" t="inlineStr">
        <is>
          <t>In Stock</t>
        </is>
      </c>
    </row>
    <row r="405">
      <c r="A405" s="15">
        <f>HYPERLINK("https://shoreaquatic.com/shop/plant-tcmiptwic","Microsorum Pteropus \")</f>
        <v/>
      </c>
      <c r="B405" s="16" t="inlineStr">
        <is>
          <t>Microsorum pteropus 'Windelov'</t>
        </is>
      </c>
      <c r="C405" s="17" t="inlineStr"/>
      <c r="D405" s="17" t="inlineStr">
        <is>
          <t>In Stock</t>
        </is>
      </c>
    </row>
    <row r="406">
      <c r="A406" s="15">
        <f>HYPERLINK("https://shoreaquatic.com/shop/plant-mmogr","Mondo Grass")</f>
        <v/>
      </c>
      <c r="B406" s="16" t="inlineStr">
        <is>
          <t>Ophiopogon japonica</t>
        </is>
      </c>
      <c r="C406" s="17" t="inlineStr"/>
      <c r="D406" s="17" t="inlineStr">
        <is>
          <t>Seasonal</t>
        </is>
      </c>
    </row>
    <row r="407">
      <c r="A407" s="15">
        <f>HYPERLINK("https://shoreaquatic.com/shop/plant-mmonp","Monosolenium Portion")</f>
        <v/>
      </c>
      <c r="B407" s="16" t="inlineStr">
        <is>
          <t>Monosolenium tererum</t>
        </is>
      </c>
      <c r="C407" s="17" t="inlineStr"/>
      <c r="D407" s="17" t="inlineStr">
        <is>
          <t>Seasonal</t>
        </is>
      </c>
    </row>
    <row r="408">
      <c r="A408" s="15">
        <f>HYPERLINK("https://shoreaquatic.com/shop/plant-mmobas","Moss Balls")</f>
        <v/>
      </c>
      <c r="B408" s="16" t="inlineStr">
        <is>
          <t>Aegagropila linnaei</t>
        </is>
      </c>
      <c r="C408" s="17" t="inlineStr">
        <is>
          <t>Small</t>
        </is>
      </c>
      <c r="D408" s="17" t="inlineStr">
        <is>
          <t>Seasonal</t>
        </is>
      </c>
    </row>
    <row r="409">
      <c r="A409" s="15">
        <f>HYPERLINK("https://shoreaquatic.com/shop/plant-mmobam","Moss Balls")</f>
        <v/>
      </c>
      <c r="B409" s="16" t="inlineStr">
        <is>
          <t>Aegagropila linnaei</t>
        </is>
      </c>
      <c r="C409" s="17" t="inlineStr">
        <is>
          <t>Medium</t>
        </is>
      </c>
      <c r="D409" s="17" t="inlineStr">
        <is>
          <t>Seasonal</t>
        </is>
      </c>
    </row>
    <row r="410">
      <c r="A410" s="15">
        <f>HYPERLINK("https://shoreaquatic.com/shop/plant-mmobal","Moss Balls")</f>
        <v/>
      </c>
      <c r="B410" s="16" t="inlineStr">
        <is>
          <t>Aegagropila linnaei</t>
        </is>
      </c>
      <c r="C410" s="17" t="inlineStr">
        <is>
          <t>Large</t>
        </is>
      </c>
      <c r="D410" s="17" t="inlineStr">
        <is>
          <t>Seasonal</t>
        </is>
      </c>
    </row>
    <row r="411">
      <c r="A411" s="15">
        <f>HYPERLINK("https://shoreaquatic.com/shop/plant-mmobax","Moss Balls")</f>
        <v/>
      </c>
      <c r="B411" s="16" t="inlineStr">
        <is>
          <t>Aegagropila linnaei</t>
        </is>
      </c>
      <c r="C411" s="17" t="inlineStr">
        <is>
          <t>X-Large</t>
        </is>
      </c>
      <c r="D411" s="17" t="inlineStr">
        <is>
          <t>Seasonal</t>
        </is>
      </c>
    </row>
    <row r="412">
      <c r="A412" s="15">
        <f>HYPERLINK("https://shoreaquatic.com/shop/plant-tcmyguc","Myriophyllum Guyana T/C Cup")</f>
        <v/>
      </c>
      <c r="B412" s="16" t="inlineStr">
        <is>
          <t>Myriophyllum guyana</t>
        </is>
      </c>
      <c r="C412" s="17" t="inlineStr"/>
      <c r="D412" s="17" t="inlineStr">
        <is>
          <t>In Stock</t>
        </is>
      </c>
    </row>
    <row r="413">
      <c r="A413" s="15">
        <f>HYPERLINK("https://shoreaquatic.com/shop/plant-mocplm","Octopus Plant")</f>
        <v/>
      </c>
      <c r="B413" s="16" t="inlineStr">
        <is>
          <t>Isoetes lacustris</t>
        </is>
      </c>
      <c r="C413" s="17" t="inlineStr">
        <is>
          <t>Medium</t>
        </is>
      </c>
      <c r="D413" s="17" t="inlineStr">
        <is>
          <t>In Stock</t>
        </is>
      </c>
    </row>
    <row r="414">
      <c r="A414" s="15">
        <f>HYPERLINK("https://shoreaquatic.com/shop/plant-mocpll","Octopus Plant")</f>
        <v/>
      </c>
      <c r="B414" s="16" t="inlineStr">
        <is>
          <t>Isoetes lacustris</t>
        </is>
      </c>
      <c r="C414" s="17" t="inlineStr">
        <is>
          <t>Large</t>
        </is>
      </c>
      <c r="D414" s="17" t="inlineStr">
        <is>
          <t>Seasonal</t>
        </is>
      </c>
    </row>
    <row r="415">
      <c r="A415" s="15">
        <f>HYPERLINK("https://shoreaquatic.com/shop/plant-monpld","Onion Plant, Dwarf")</f>
        <v/>
      </c>
      <c r="B415" s="16" t="inlineStr">
        <is>
          <t>Zephyranthes candida</t>
        </is>
      </c>
      <c r="C415" s="17" t="inlineStr"/>
      <c r="D415" s="17" t="inlineStr">
        <is>
          <t>In Stock</t>
        </is>
      </c>
    </row>
    <row r="416">
      <c r="A416" s="15">
        <f>HYPERLINK("https://shoreaquatic.com/shop/plant-tcplafc","Plagiomnium Cf Affine T/C Cup")</f>
        <v/>
      </c>
      <c r="B416" s="16" t="inlineStr">
        <is>
          <t>Plagiomnium cf affine</t>
        </is>
      </c>
      <c r="C416" s="17" t="inlineStr"/>
      <c r="D416" s="17" t="inlineStr">
        <is>
          <t>Seasonal</t>
        </is>
      </c>
    </row>
    <row r="417">
      <c r="A417" s="15">
        <f>HYPERLINK("https://shoreaquatic.com/shop/plant-tcpoerc","Pogostemon Erectus T/C Cup")</f>
        <v/>
      </c>
      <c r="B417" s="16" t="inlineStr">
        <is>
          <t>Pogostemon erectus</t>
        </is>
      </c>
      <c r="C417" s="17" t="inlineStr"/>
      <c r="D417" s="17" t="inlineStr">
        <is>
          <t>Ask / Seasonal</t>
        </is>
      </c>
    </row>
    <row r="418">
      <c r="A418" s="15">
        <f>HYPERLINK("https://shoreaquatic.com/shop/plant-tcpohec","Pogostemon Helferi T/C Cup")</f>
        <v/>
      </c>
      <c r="B418" s="16" t="inlineStr">
        <is>
          <t>Pogostemon helferi</t>
        </is>
      </c>
      <c r="C418" s="17" t="inlineStr"/>
      <c r="D418" s="17" t="inlineStr">
        <is>
          <t>In Stock</t>
        </is>
      </c>
    </row>
    <row r="419">
      <c r="A419" s="15">
        <f>HYPERLINK("https://shoreaquatic.com/shop/plant-mpohep","Pogostemon Portion")</f>
        <v/>
      </c>
      <c r="B419" s="16" t="inlineStr">
        <is>
          <t>Pogostemon helferi</t>
        </is>
      </c>
      <c r="C419" s="17" t="inlineStr"/>
      <c r="D419" s="17" t="inlineStr">
        <is>
          <t>In Stock</t>
        </is>
      </c>
    </row>
    <row r="420">
      <c r="A420" s="15">
        <f>HYPERLINK("https://shoreaquatic.com/shop/plant-mrerop","Red Root Floater Portion")</f>
        <v/>
      </c>
      <c r="B420" s="16" t="inlineStr">
        <is>
          <t>Phyllanthus fluitans</t>
        </is>
      </c>
      <c r="C420" s="17" t="inlineStr"/>
      <c r="D420" s="17" t="inlineStr">
        <is>
          <t>In Stock</t>
        </is>
      </c>
    </row>
    <row r="421">
      <c r="A421" s="15">
        <f>HYPERLINK("https://shoreaquatic.com/shop/plant-mricchm","Riccardia Chamedryfolia Mat")</f>
        <v/>
      </c>
      <c r="B421" s="16" t="inlineStr">
        <is>
          <t>Riccardia chamedryfolia</t>
        </is>
      </c>
      <c r="C421" s="17" t="inlineStr"/>
      <c r="D421" s="17" t="inlineStr">
        <is>
          <t>Seasonal</t>
        </is>
      </c>
    </row>
    <row r="422">
      <c r="A422" s="15">
        <f>HYPERLINK("https://shoreaquatic.com/shop/plant-mrimop","Riccardia Moss Portion")</f>
        <v/>
      </c>
      <c r="B422" s="16" t="inlineStr">
        <is>
          <t>Riccardia chamedryfolia</t>
        </is>
      </c>
      <c r="C422" s="17" t="inlineStr"/>
      <c r="D422" s="17" t="inlineStr">
        <is>
          <t>Seasonal</t>
        </is>
      </c>
    </row>
    <row r="423">
      <c r="A423" s="15">
        <f>HYPERLINK("https://shoreaquatic.com/shop/plant-tcriflc","Riccia Fluitans T/C Cup")</f>
        <v/>
      </c>
      <c r="B423" s="16" t="inlineStr">
        <is>
          <t>Riccia fluitans</t>
        </is>
      </c>
      <c r="C423" s="17" t="inlineStr"/>
      <c r="D423" s="17" t="inlineStr">
        <is>
          <t>Seasonal</t>
        </is>
      </c>
    </row>
    <row r="424">
      <c r="A424" s="15">
        <f>HYPERLINK("https://shoreaquatic.com/shop/plant-mricp","Riccia Portion")</f>
        <v/>
      </c>
      <c r="B424" s="16" t="inlineStr">
        <is>
          <t>Riccia fluitans</t>
        </is>
      </c>
      <c r="C424" s="17" t="inlineStr"/>
      <c r="D424" s="17" t="inlineStr">
        <is>
          <t>In Stock</t>
        </is>
      </c>
    </row>
    <row r="425">
      <c r="A425" s="15">
        <f>HYPERLINK("https://shoreaquatic.com/shop/plant-tcroboc","Rotala Bonsai T/C Cup")</f>
        <v/>
      </c>
      <c r="B425" s="16" t="inlineStr">
        <is>
          <t>Rotala 'Bonsai'</t>
        </is>
      </c>
      <c r="C425" s="17" t="inlineStr"/>
      <c r="D425" s="17" t="inlineStr">
        <is>
          <t>Ask / Seasonal</t>
        </is>
      </c>
    </row>
    <row r="426">
      <c r="A426" s="15">
        <f>HYPERLINK("https://shoreaquatic.com/shop/plant-tcrogrc","Rotala Green T/C Cup")</f>
        <v/>
      </c>
      <c r="B426" s="16" t="inlineStr">
        <is>
          <t>Rotala rotundifolia 'Green'</t>
        </is>
      </c>
      <c r="C426" s="17" t="inlineStr"/>
      <c r="D426" s="17" t="inlineStr">
        <is>
          <t>Ask / Seasonal</t>
        </is>
      </c>
    </row>
    <row r="427">
      <c r="A427" s="15">
        <f>HYPERLINK("https://shoreaquatic.com/shop/plant-tcromac","Rotala Macandra T/C Cup")</f>
        <v/>
      </c>
      <c r="B427" s="16" t="inlineStr">
        <is>
          <t>Rotala macandra</t>
        </is>
      </c>
      <c r="C427" s="17" t="inlineStr"/>
      <c r="D427" s="17" t="inlineStr">
        <is>
          <t>Ask / Seasonal</t>
        </is>
      </c>
    </row>
    <row r="428">
      <c r="A428" s="15">
        <f>HYPERLINK("https://shoreaquatic.com/shop/plant-tcrovic","Rotala Vietnam H'Ra T/C Cup")</f>
        <v/>
      </c>
      <c r="B428" s="16" t="inlineStr">
        <is>
          <t>Rotala rotundifolia 'H'Ra'</t>
        </is>
      </c>
      <c r="C428" s="17" t="inlineStr"/>
      <c r="D428" s="17" t="inlineStr">
        <is>
          <t>Ask / Seasonal</t>
        </is>
      </c>
    </row>
    <row r="429">
      <c r="A429" s="15">
        <f>HYPERLINK("https://shoreaquatic.com/shop/plant-tcsasuc","Sagittaria Subulata T/C Cup")</f>
        <v/>
      </c>
      <c r="B429" s="16" t="inlineStr">
        <is>
          <t>Sagittaria subulata</t>
        </is>
      </c>
      <c r="C429" s="17" t="inlineStr"/>
      <c r="D429" s="17" t="inlineStr">
        <is>
          <t>Ask / Seasonal</t>
        </is>
      </c>
    </row>
    <row r="430">
      <c r="A430" s="15">
        <f>HYPERLINK("https://shoreaquatic.com/shop/plant-tcschpric","Schismatoglottis Prietoi T/C Cup")</f>
        <v/>
      </c>
      <c r="B430" s="16" t="inlineStr">
        <is>
          <t>Schismatoglottis prietoi</t>
        </is>
      </c>
      <c r="C430" s="17" t="inlineStr"/>
      <c r="D430" s="17" t="inlineStr">
        <is>
          <t>In Stock</t>
        </is>
      </c>
    </row>
    <row r="431">
      <c r="A431" s="15">
        <f>HYPERLINK("https://shoreaquatic.com/shop/plant-tcstrec","Staurogyne Repens T/C Cup")</f>
        <v/>
      </c>
      <c r="B431" s="16" t="inlineStr">
        <is>
          <t>Staurogyne repens</t>
        </is>
      </c>
      <c r="C431" s="17" t="inlineStr"/>
      <c r="D431" s="17" t="inlineStr">
        <is>
          <t>In Stock</t>
        </is>
      </c>
    </row>
    <row r="432">
      <c r="A432" s="15">
        <f>HYPERLINK("https://shoreaquatic.com/shop/plant-mtamom","Taiwan Moss Mat")</f>
        <v/>
      </c>
      <c r="B432" s="16" t="inlineStr">
        <is>
          <t>Taxiphyllum 'alternans'</t>
        </is>
      </c>
      <c r="C432" s="17" t="inlineStr"/>
      <c r="D432" s="17" t="inlineStr">
        <is>
          <t>Ask / Seasonal</t>
        </is>
      </c>
    </row>
    <row r="433">
      <c r="A433" s="15">
        <f>HYPERLINK("https://shoreaquatic.com/shop/plant-mtamop","Taiwan Moss Portion")</f>
        <v/>
      </c>
      <c r="B433" s="16" t="inlineStr">
        <is>
          <t>Taxiphyllum 'alternans'</t>
        </is>
      </c>
      <c r="C433" s="17" t="inlineStr"/>
      <c r="D433" s="17" t="inlineStr">
        <is>
          <t>In Stock</t>
        </is>
      </c>
    </row>
    <row r="434">
      <c r="A434" s="15">
        <f>HYPERLINK("https://shoreaquatic.com/shop/plant-tctaflc","Taxiphyllum 'Flame Moss' T/C Cup")</f>
        <v/>
      </c>
      <c r="B434" s="16" t="inlineStr">
        <is>
          <t>Taxiphyllum 'Flame Moss'</t>
        </is>
      </c>
      <c r="C434" s="17" t="inlineStr"/>
      <c r="D434" s="17" t="inlineStr">
        <is>
          <t>In Stock</t>
        </is>
      </c>
    </row>
    <row r="435">
      <c r="A435" s="15">
        <f>HYPERLINK("https://shoreaquatic.com/shop/plant-tctagic","Taxiphyllum 'Giant' T/C Cup")</f>
        <v/>
      </c>
      <c r="B435" s="16" t="inlineStr">
        <is>
          <t>Taxiphyllum 'Giant'</t>
        </is>
      </c>
      <c r="C435" s="17" t="inlineStr"/>
      <c r="D435" s="17" t="inlineStr">
        <is>
          <t>Ask / Seasonal</t>
        </is>
      </c>
    </row>
    <row r="436">
      <c r="A436" s="15">
        <f>HYPERLINK("https://shoreaquatic.com/shop/plant-tctaspc","Taxiphyllum 'Spiky' T/C Cup")</f>
        <v/>
      </c>
      <c r="B436" s="16" t="inlineStr">
        <is>
          <t>Taxiphyllum spiky</t>
        </is>
      </c>
      <c r="C436" s="17" t="inlineStr"/>
      <c r="D436" s="17" t="inlineStr">
        <is>
          <t>In Stock</t>
        </is>
      </c>
    </row>
    <row r="437">
      <c r="A437" s="15">
        <f>HYPERLINK("https://shoreaquatic.com/shop/plant-tctatac","Taxiphyllum 'Taiwan Moss' T/C Cup")</f>
        <v/>
      </c>
      <c r="B437" s="16" t="inlineStr">
        <is>
          <t>Taxiphyllum 'alternans'</t>
        </is>
      </c>
      <c r="C437" s="17" t="inlineStr"/>
      <c r="D437" s="17" t="inlineStr">
        <is>
          <t>In Stock</t>
        </is>
      </c>
    </row>
    <row r="438">
      <c r="A438" s="15">
        <f>HYPERLINK("https://shoreaquatic.com/shop/plant-tctaxc","Taxiphyllum Berbieri T/C Cup")</f>
        <v/>
      </c>
      <c r="B438" s="16" t="inlineStr">
        <is>
          <t>Taxiphyllum barbieri</t>
        </is>
      </c>
      <c r="C438" s="17" t="inlineStr"/>
      <c r="D438" s="17" t="inlineStr">
        <is>
          <t>In Stock</t>
        </is>
      </c>
    </row>
    <row r="439">
      <c r="A439" s="15">
        <f>HYPERLINK("https://shoreaquatic.com/shop/plant-mtilog","Tiger Lotus, Green")</f>
        <v/>
      </c>
      <c r="B439" s="16" t="inlineStr">
        <is>
          <t>Nymphaea lotus</t>
        </is>
      </c>
      <c r="C439" s="17" t="inlineStr"/>
      <c r="D439" s="17" t="inlineStr">
        <is>
          <t>Seasonal</t>
        </is>
      </c>
    </row>
    <row r="440">
      <c r="A440" s="15">
        <f>HYPERLINK("https://shoreaquatic.com/shop/plant-mtilogl","Tiger Lotus, Green")</f>
        <v/>
      </c>
      <c r="B440" s="16" t="inlineStr">
        <is>
          <t>Nymphaea lotus</t>
        </is>
      </c>
      <c r="C440" s="17" t="inlineStr">
        <is>
          <t>Large</t>
        </is>
      </c>
      <c r="D440" s="17" t="inlineStr">
        <is>
          <t>Seasonal</t>
        </is>
      </c>
    </row>
    <row r="441">
      <c r="A441" s="15">
        <f>HYPERLINK("https://shoreaquatic.com/shop/plant-mtilor","Tiger Lotus, Red")</f>
        <v/>
      </c>
      <c r="B441" s="16" t="inlineStr">
        <is>
          <t>Nymphaea lotus</t>
        </is>
      </c>
      <c r="C441" s="17" t="inlineStr"/>
      <c r="D441" s="17" t="inlineStr">
        <is>
          <t>In Stock</t>
        </is>
      </c>
    </row>
    <row r="442">
      <c r="A442" s="15">
        <f>HYPERLINK("https://shoreaquatic.com/shop/plant-mtilorl","Tiger Lotus, Red")</f>
        <v/>
      </c>
      <c r="B442" s="16" t="inlineStr">
        <is>
          <t>Nymphaea lotus</t>
        </is>
      </c>
      <c r="C442" s="17" t="inlineStr">
        <is>
          <t>Large</t>
        </is>
      </c>
      <c r="D442" s="17" t="inlineStr">
        <is>
          <t>Seasonal</t>
        </is>
      </c>
    </row>
    <row r="443">
      <c r="A443" s="15">
        <f>HYPERLINK("https://shoreaquatic.com/shop/plant-tcutrc","Utricularia T/C Cup")</f>
        <v/>
      </c>
      <c r="B443" s="16" t="inlineStr">
        <is>
          <t>Utricularia graminifolia</t>
        </is>
      </c>
      <c r="C443" s="17" t="inlineStr"/>
      <c r="D443" s="17" t="inlineStr">
        <is>
          <t>In Stock</t>
        </is>
      </c>
    </row>
    <row r="444">
      <c r="A444" s="15">
        <f>HYPERLINK("https://shoreaquatic.com/shop/plant-mwasp","Water Sprite")</f>
        <v/>
      </c>
      <c r="B444" s="16" t="inlineStr">
        <is>
          <t>Ceratopteris thalictroides</t>
        </is>
      </c>
      <c r="C444" s="17" t="inlineStr"/>
      <c r="D444" s="17" t="inlineStr">
        <is>
          <t>In Stock</t>
        </is>
      </c>
    </row>
    <row r="445">
      <c r="A445" s="15">
        <f>HYPERLINK("https://shoreaquatic.com/shop/plant-mwaspl","Water Sprite")</f>
        <v/>
      </c>
      <c r="B445" s="16" t="inlineStr">
        <is>
          <t>Ceratopteris thalictroides</t>
        </is>
      </c>
      <c r="C445" s="17" t="inlineStr">
        <is>
          <t>Large</t>
        </is>
      </c>
      <c r="D445" s="17" t="inlineStr">
        <is>
          <t>Ask / Seasonal</t>
        </is>
      </c>
    </row>
    <row r="446">
      <c r="A446" s="15">
        <f>HYPERLINK("https://shoreaquatic.com/shop/plant-mwemom","Weeping Moss Mat")</f>
        <v/>
      </c>
      <c r="B446" s="16" t="inlineStr">
        <is>
          <t>Vesicularia ferriei</t>
        </is>
      </c>
      <c r="C446" s="17" t="inlineStr"/>
      <c r="D446" s="17" t="inlineStr">
        <is>
          <t>Ask / Seasonal</t>
        </is>
      </c>
    </row>
    <row r="447">
      <c r="A447" s="15">
        <f>HYPERLINK("https://shoreaquatic.com/shop/plant-mwemop","Weeping Moss Portion")</f>
        <v/>
      </c>
      <c r="B447" s="16" t="inlineStr">
        <is>
          <t>Vesicularia ferriei</t>
        </is>
      </c>
      <c r="C447" s="17" t="inlineStr"/>
      <c r="D447" s="17" t="inlineStr">
        <is>
          <t>Ask / Seasonal</t>
        </is>
      </c>
    </row>
    <row r="448">
      <c r="A448" s="15">
        <f>HYPERLINK("https://shoreaquatic.com/shop/plant-tcwemoc","Weeping Moss T/C Cup")</f>
        <v/>
      </c>
      <c r="B448" s="16" t="inlineStr">
        <is>
          <t>Vesicularia ferrieri</t>
        </is>
      </c>
      <c r="C448" s="17" t="inlineStr"/>
      <c r="D448" s="17" t="inlineStr">
        <is>
          <t>In Stock</t>
        </is>
      </c>
    </row>
    <row r="449">
      <c r="A449" s="14" t="inlineStr">
        <is>
          <t xml:space="preserve">  Mother Plants  (16)</t>
        </is>
      </c>
    </row>
    <row r="450">
      <c r="A450" s="15">
        <f>HYPERLINK("https://shoreaquatic.com/shop/plant-panbaromo","A. Barteri Rl Mother")</f>
        <v/>
      </c>
      <c r="B450" s="16" t="inlineStr">
        <is>
          <t>Anubias barteri 'Broad Leaf'</t>
        </is>
      </c>
      <c r="C450" s="17" t="inlineStr"/>
      <c r="D450" s="17" t="inlineStr">
        <is>
          <t>Ask / Seasonal</t>
        </is>
      </c>
    </row>
    <row r="451">
      <c r="A451" s="15">
        <f>HYPERLINK("https://shoreaquatic.com/shop/plant-panconmo","A. Congensis Mother")</f>
        <v/>
      </c>
      <c r="B451" s="16" t="inlineStr">
        <is>
          <t>Anubias afzelii</t>
        </is>
      </c>
      <c r="C451" s="17" t="inlineStr"/>
      <c r="D451" s="17" t="inlineStr">
        <is>
          <t>Ask / Seasonal</t>
        </is>
      </c>
    </row>
    <row r="452">
      <c r="A452" s="15">
        <f>HYPERLINK("https://shoreaquatic.com/shop/plant-panfrmo","A. Frazeri Mother")</f>
        <v/>
      </c>
      <c r="B452" s="16" t="inlineStr">
        <is>
          <t>Anubias 'Frazeri'</t>
        </is>
      </c>
      <c r="C452" s="17" t="inlineStr"/>
      <c r="D452" s="17" t="inlineStr">
        <is>
          <t>Ask / Seasonal</t>
        </is>
      </c>
    </row>
    <row r="453">
      <c r="A453" s="15">
        <f>HYPERLINK("https://shoreaquatic.com/shop/plant-panhamo","A. Hastifolia Mother")</f>
        <v/>
      </c>
      <c r="B453" s="16" t="inlineStr">
        <is>
          <t>Anubias hastifolia</t>
        </is>
      </c>
      <c r="C453" s="17" t="inlineStr"/>
      <c r="D453" s="17" t="inlineStr">
        <is>
          <t>Ask / Seasonal</t>
        </is>
      </c>
    </row>
    <row r="454">
      <c r="A454" s="15">
        <f>HYPERLINK("https://shoreaquatic.com/shop/plant-pannamo","A. Nana Mother")</f>
        <v/>
      </c>
      <c r="B454" s="16" t="inlineStr">
        <is>
          <t>Anubias barteri var. nana</t>
        </is>
      </c>
      <c r="C454" s="17" t="inlineStr"/>
      <c r="D454" s="17" t="inlineStr">
        <is>
          <t>In Stock</t>
        </is>
      </c>
    </row>
    <row r="455">
      <c r="A455" s="15">
        <f>HYPERLINK("https://shoreaquatic.com/shop/plant-pannancmo","A. Nancon Mother")</f>
        <v/>
      </c>
      <c r="B455" s="16" t="inlineStr">
        <is>
          <t>Anubias 'Nancon'</t>
        </is>
      </c>
      <c r="C455" s="17" t="inlineStr"/>
      <c r="D455" s="17" t="inlineStr">
        <is>
          <t>In Stock</t>
        </is>
      </c>
    </row>
    <row r="456">
      <c r="A456" s="15">
        <f>HYPERLINK("https://shoreaquatic.com/shop/plant-pannangmo","A. Nangi Mother")</f>
        <v/>
      </c>
      <c r="B456" s="16" t="inlineStr">
        <is>
          <t>Anubias 'Nangi'</t>
        </is>
      </c>
      <c r="C456" s="17" t="inlineStr"/>
      <c r="D456" s="17" t="inlineStr">
        <is>
          <t>Ask / Seasonal</t>
        </is>
      </c>
    </row>
    <row r="457">
      <c r="A457" s="15">
        <f>HYPERLINK("https://shoreaquatic.com/shop/plant-pamamo","Amazon Mother")</f>
        <v/>
      </c>
      <c r="B457" s="16" t="inlineStr">
        <is>
          <t>Echinodorus grisebachii 'Bleherae'</t>
        </is>
      </c>
      <c r="C457" s="17" t="inlineStr"/>
      <c r="D457" s="17" t="inlineStr">
        <is>
          <t>In Stock</t>
        </is>
      </c>
    </row>
    <row r="458">
      <c r="A458" s="15">
        <f>HYPERLINK("https://shoreaquatic.com/shop/plant-porimo","Oriental Mother")</f>
        <v/>
      </c>
      <c r="B458" s="16" t="inlineStr">
        <is>
          <t>Echinodorus 'Oriental'</t>
        </is>
      </c>
      <c r="C458" s="17" t="inlineStr"/>
      <c r="D458" s="17" t="inlineStr">
        <is>
          <t>Ask / Seasonal</t>
        </is>
      </c>
    </row>
    <row r="459">
      <c r="A459" s="15">
        <f>HYPERLINK("https://shoreaquatic.com/shop/plant-pozgrmo","Ozelot Green Mother")</f>
        <v/>
      </c>
      <c r="B459" s="16" t="inlineStr">
        <is>
          <t>Echinodorus 'Ozelot green'</t>
        </is>
      </c>
      <c r="C459" s="17" t="inlineStr"/>
      <c r="D459" s="17" t="inlineStr">
        <is>
          <t>In Stock</t>
        </is>
      </c>
    </row>
    <row r="460">
      <c r="A460" s="15">
        <f>HYPERLINK("https://shoreaquatic.com/shop/plant-pozemo","Ozelot Mother")</f>
        <v/>
      </c>
      <c r="B460" s="16" t="inlineStr">
        <is>
          <t>Echinodorus 'Ozelot'</t>
        </is>
      </c>
      <c r="C460" s="17" t="inlineStr"/>
      <c r="D460" s="17" t="inlineStr">
        <is>
          <t>In Stock</t>
        </is>
      </c>
    </row>
    <row r="461">
      <c r="A461" s="15">
        <f>HYPERLINK("https://shoreaquatic.com/shop/plant-preflmo","Red Flame Mother")</f>
        <v/>
      </c>
      <c r="B461" s="16" t="inlineStr">
        <is>
          <t>Echinodorus 'Red Flame'</t>
        </is>
      </c>
      <c r="C461" s="17" t="inlineStr"/>
      <c r="D461" s="17" t="inlineStr">
        <is>
          <t>Seasonal</t>
        </is>
      </c>
    </row>
    <row r="462">
      <c r="A462" s="15">
        <f>HYPERLINK("https://shoreaquatic.com/shop/plant-ptel","Telanthera. 6-24")</f>
        <v/>
      </c>
      <c r="B462" s="16" t="inlineStr">
        <is>
          <t>Alternanthera reineckii 'Rosaefolia'</t>
        </is>
      </c>
      <c r="C462" s="17" t="inlineStr"/>
      <c r="D462" s="17" t="inlineStr">
        <is>
          <t>Ask / Seasonal</t>
        </is>
      </c>
    </row>
    <row r="463">
      <c r="A463" s="15">
        <f>HYPERLINK("https://shoreaquatic.com/shop/plant-pwaspl","Water Sprite")</f>
        <v/>
      </c>
      <c r="B463" s="16" t="inlineStr">
        <is>
          <t>Ceratopteris thalictroides</t>
        </is>
      </c>
      <c r="C463" s="17" t="inlineStr">
        <is>
          <t>Large</t>
        </is>
      </c>
      <c r="D463" s="17" t="inlineStr">
        <is>
          <t>Seasonal</t>
        </is>
      </c>
    </row>
    <row r="464">
      <c r="A464" s="15">
        <f>HYPERLINK("https://shoreaquatic.com/shop/plant-pwasp","Water Sprite. 6-24")</f>
        <v/>
      </c>
      <c r="B464" s="16" t="inlineStr">
        <is>
          <t>Ceratopteris thalictroides</t>
        </is>
      </c>
      <c r="C464" s="17" t="inlineStr"/>
      <c r="D464" s="17" t="inlineStr">
        <is>
          <t>In Stock</t>
        </is>
      </c>
    </row>
    <row r="465">
      <c r="A465" s="15">
        <f>HYPERLINK("https://shoreaquatic.com/shop/plant-pwis","Wisteria. 6-24")</f>
        <v/>
      </c>
      <c r="B465" s="16" t="inlineStr">
        <is>
          <t>Hygrophila difformis</t>
        </is>
      </c>
      <c r="C465" s="17" t="inlineStr"/>
      <c r="D465" s="17" t="inlineStr">
        <is>
          <t>Ask / Seasonal</t>
        </is>
      </c>
    </row>
    <row r="466">
      <c r="A466" s="14" t="inlineStr">
        <is>
          <t xml:space="preserve">  Sagittaria  (83)</t>
        </is>
      </c>
    </row>
    <row r="467">
      <c r="A467" s="15">
        <f>HYPERLINK("https://shoreaquatic.com/shop/plant-macva","Acorus, Variegated")</f>
        <v/>
      </c>
      <c r="B467" s="16" t="inlineStr">
        <is>
          <t>Acorus gramineus variegatus</t>
        </is>
      </c>
      <c r="C467" s="17" t="inlineStr"/>
      <c r="D467" s="17" t="inlineStr">
        <is>
          <t>Seasonal</t>
        </is>
      </c>
    </row>
    <row r="468">
      <c r="A468" s="15">
        <f>HYPERLINK("https://shoreaquatic.com/shop/plant-mbapl","Banana Plant")</f>
        <v/>
      </c>
      <c r="B468" s="16" t="inlineStr">
        <is>
          <t>Nymphoides aquatica</t>
        </is>
      </c>
      <c r="C468" s="17" t="inlineStr"/>
      <c r="D468" s="17" t="inlineStr">
        <is>
          <t>Ask / Seasonal</t>
        </is>
      </c>
    </row>
    <row r="469">
      <c r="A469" s="15">
        <f>HYPERLINK("https://shoreaquatic.com/shop/plant-mbapll","Banana Plant")</f>
        <v/>
      </c>
      <c r="B469" s="16" t="inlineStr">
        <is>
          <t>Nymphoides aquatica</t>
        </is>
      </c>
      <c r="C469" s="17" t="inlineStr">
        <is>
          <t>Large</t>
        </is>
      </c>
      <c r="D469" s="17" t="inlineStr">
        <is>
          <t>Seasonal</t>
        </is>
      </c>
    </row>
    <row r="470">
      <c r="A470" s="15">
        <f>HYPERLINK("https://shoreaquatic.com/shop/plant-mblau","Blyxa Aubertii")</f>
        <v/>
      </c>
      <c r="B470" s="16" t="inlineStr">
        <is>
          <t>Blyxa aubertii</t>
        </is>
      </c>
      <c r="C470" s="17" t="inlineStr"/>
      <c r="D470" s="17" t="inlineStr">
        <is>
          <t>Ask / Seasonal</t>
        </is>
      </c>
    </row>
    <row r="471">
      <c r="A471" s="15">
        <f>HYPERLINK("https://shoreaquatic.com/shop/plant-mblja","Blyxa Japonica")</f>
        <v/>
      </c>
      <c r="B471" s="16" t="inlineStr">
        <is>
          <t>Blyxa japonica</t>
        </is>
      </c>
      <c r="C471" s="17" t="inlineStr"/>
      <c r="D471" s="17" t="inlineStr">
        <is>
          <t>In Stock</t>
        </is>
      </c>
    </row>
    <row r="472">
      <c r="A472" s="15">
        <f>HYPERLINK("https://shoreaquatic.com/shop/plant-mblre","Blyxa Sp. Red")</f>
        <v/>
      </c>
      <c r="B472" s="16" t="inlineStr">
        <is>
          <t>Blyxa sp red</t>
        </is>
      </c>
      <c r="C472" s="17" t="inlineStr"/>
      <c r="D472" s="17" t="inlineStr">
        <is>
          <t>Ask / Seasonal</t>
        </is>
      </c>
    </row>
    <row r="473">
      <c r="A473" s="15">
        <f>HYPERLINK("https://shoreaquatic.com/shop/plant-aboim","Boivinianus")</f>
        <v/>
      </c>
      <c r="B473" s="16" t="inlineStr">
        <is>
          <t>Aponogeton boivinianus</t>
        </is>
      </c>
      <c r="C473" s="17" t="inlineStr">
        <is>
          <t>Medium</t>
        </is>
      </c>
      <c r="D473" s="17" t="inlineStr">
        <is>
          <t>Ask / Seasonal</t>
        </is>
      </c>
    </row>
    <row r="474">
      <c r="A474" s="15">
        <f>HYPERLINK("https://shoreaquatic.com/shop/plant-aboil","Boivinianus")</f>
        <v/>
      </c>
      <c r="B474" s="16" t="inlineStr">
        <is>
          <t>Aponogeton boivinianus</t>
        </is>
      </c>
      <c r="C474" s="17" t="inlineStr">
        <is>
          <t>Large</t>
        </is>
      </c>
      <c r="D474" s="17" t="inlineStr">
        <is>
          <t>Seasonal</t>
        </is>
      </c>
    </row>
    <row r="475">
      <c r="A475" s="15">
        <f>HYPERLINK("https://shoreaquatic.com/shop/plant-aboix","Boivinianus")</f>
        <v/>
      </c>
      <c r="B475" s="16" t="inlineStr">
        <is>
          <t>Aponogeton boivinianus</t>
        </is>
      </c>
      <c r="C475" s="17" t="inlineStr">
        <is>
          <t>X-Large</t>
        </is>
      </c>
      <c r="D475" s="17" t="inlineStr">
        <is>
          <t>Seasonal</t>
        </is>
      </c>
    </row>
    <row r="476">
      <c r="A476" s="15">
        <f>HYPERLINK("https://shoreaquatic.com/shop/plant-aboib","Boivinianus Bulbs")</f>
        <v/>
      </c>
      <c r="B476" s="16" t="inlineStr">
        <is>
          <t>Aponogeton boivinianus</t>
        </is>
      </c>
      <c r="C476" s="17" t="inlineStr"/>
      <c r="D476" s="17" t="inlineStr">
        <is>
          <t>In Stock</t>
        </is>
      </c>
    </row>
    <row r="477">
      <c r="A477" s="15">
        <f>HYPERLINK("https://shoreaquatic.com/shop/plant-mbuar","Bucephalandra 'Artemis'")</f>
        <v/>
      </c>
      <c r="B477" s="16" t="inlineStr">
        <is>
          <t>Bucephalandra 'Artemis'</t>
        </is>
      </c>
      <c r="C477" s="17" t="inlineStr"/>
      <c r="D477" s="17" t="inlineStr">
        <is>
          <t>Seasonal</t>
        </is>
      </c>
    </row>
    <row r="478">
      <c r="A478" s="15">
        <f>HYPERLINK("https://shoreaquatic.com/shop/plant-mbubib","Bucephalandra 'Biblis'")</f>
        <v/>
      </c>
      <c r="B478" s="16" t="inlineStr">
        <is>
          <t>Bucephalandra 'Biblis'</t>
        </is>
      </c>
      <c r="C478" s="17" t="inlineStr"/>
      <c r="D478" s="17" t="inlineStr">
        <is>
          <t>Seasonal</t>
        </is>
      </c>
    </row>
    <row r="479">
      <c r="A479" s="15">
        <f>HYPERLINK("https://shoreaquatic.com/shop/plant-mbucadac","Bucephalandra 'Catherinae Dark Carpet'")</f>
        <v/>
      </c>
      <c r="B479" s="16" t="inlineStr">
        <is>
          <t>Bucephalandra 'Catherinae Dark Carpet'</t>
        </is>
      </c>
      <c r="C479" s="17" t="inlineStr"/>
      <c r="D479" s="17" t="inlineStr">
        <is>
          <t>Seasonal</t>
        </is>
      </c>
    </row>
    <row r="480">
      <c r="A480" s="15">
        <f>HYPERLINK("https://shoreaquatic.com/shop/plant-mbucat","Bucephalandra 'Catherinae'")</f>
        <v/>
      </c>
      <c r="B480" s="16" t="inlineStr">
        <is>
          <t>Bucephalandra 'Catherinae'</t>
        </is>
      </c>
      <c r="C480" s="17" t="inlineStr"/>
      <c r="D480" s="17" t="inlineStr">
        <is>
          <t>In Stock</t>
        </is>
      </c>
    </row>
    <row r="481">
      <c r="A481" s="15">
        <f>HYPERLINK("https://shoreaquatic.com/shop/plant-mbugod","Bucephalandra 'Godzilla")</f>
        <v/>
      </c>
      <c r="B481" s="16" t="inlineStr">
        <is>
          <t>Bucephalandra 'Godzilla'</t>
        </is>
      </c>
      <c r="C481" s="17" t="inlineStr"/>
      <c r="D481" s="17" t="inlineStr">
        <is>
          <t>In Stock</t>
        </is>
      </c>
    </row>
    <row r="482">
      <c r="A482" s="15">
        <f>HYPERLINK("https://shoreaquatic.com/shop/plant-mbugobe","Bucephalandra 'Golden Bell'")</f>
        <v/>
      </c>
      <c r="B482" s="16" t="inlineStr">
        <is>
          <t>Bucephalandra 'Golden Bell'</t>
        </is>
      </c>
      <c r="C482" s="17" t="inlineStr"/>
      <c r="D482" s="17" t="inlineStr">
        <is>
          <t>Seasonal</t>
        </is>
      </c>
    </row>
    <row r="483">
      <c r="A483" s="15">
        <f>HYPERLINK("https://shoreaquatic.com/shop/plant-mbugrbr","Bucephalandra 'Green Broad Leaf'")</f>
        <v/>
      </c>
      <c r="B483" s="16" t="inlineStr">
        <is>
          <t>Bucephalandra 'Green Broad Leaf'</t>
        </is>
      </c>
      <c r="C483" s="17" t="inlineStr"/>
      <c r="D483" s="17" t="inlineStr">
        <is>
          <t>Seasonal</t>
        </is>
      </c>
    </row>
    <row r="484">
      <c r="A484" s="15">
        <f>HYPERLINK("https://shoreaquatic.com/shop/plant-mbugrja","Bucephalandra 'Green Jade'")</f>
        <v/>
      </c>
      <c r="B484" s="16" t="inlineStr">
        <is>
          <t>Bucephalandra 'Green Jade'</t>
        </is>
      </c>
      <c r="C484" s="17" t="inlineStr"/>
      <c r="D484" s="17" t="inlineStr">
        <is>
          <t>Seasonal</t>
        </is>
      </c>
    </row>
    <row r="485">
      <c r="A485" s="15">
        <f>HYPERLINK("https://shoreaquatic.com/shop/plant-mbugrewa","Bucephalandra 'Green Wavy'")</f>
        <v/>
      </c>
      <c r="B485" s="16" t="inlineStr">
        <is>
          <t>Bucephalandra 'Green Wavy'</t>
        </is>
      </c>
      <c r="C485" s="17" t="inlineStr"/>
      <c r="D485" s="17" t="inlineStr">
        <is>
          <t>Seasonal</t>
        </is>
      </c>
    </row>
    <row r="486">
      <c r="A486" s="15">
        <f>HYPERLINK("https://shoreaquatic.com/shop/plant-mbukegl","Bucephalandra 'Kedagang Green Long'")</f>
        <v/>
      </c>
      <c r="B486" s="16" t="inlineStr">
        <is>
          <t>Bucephalandra 'Kedagang Green Long'</t>
        </is>
      </c>
      <c r="C486" s="17" t="inlineStr"/>
      <c r="D486" s="17" t="inlineStr">
        <is>
          <t>Seasonal</t>
        </is>
      </c>
    </row>
    <row r="487">
      <c r="A487" s="15">
        <f>HYPERLINK("https://shoreaquatic.com/shop/plant-mbukemr","Bucephalandra 'Kedagang Mini Round'")</f>
        <v/>
      </c>
      <c r="B487" s="16" t="inlineStr">
        <is>
          <t>Bucephalandra 'Kedagang Mini Round'</t>
        </is>
      </c>
      <c r="C487" s="17" t="inlineStr"/>
      <c r="D487" s="17" t="inlineStr">
        <is>
          <t>Seasonal</t>
        </is>
      </c>
    </row>
    <row r="488">
      <c r="A488" s="15">
        <f>HYPERLINK("https://shoreaquatic.com/shop/plant-mbumeco","Bucephalandra 'Melawi Copper'")</f>
        <v/>
      </c>
      <c r="B488" s="16" t="inlineStr">
        <is>
          <t>Bucephalandra 'Melawi Copper'</t>
        </is>
      </c>
      <c r="C488" s="17" t="inlineStr"/>
      <c r="D488" s="17" t="inlineStr">
        <is>
          <t>Seasonal</t>
        </is>
      </c>
    </row>
    <row r="489">
      <c r="A489" s="15">
        <f>HYPERLINK("https://shoreaquatic.com/shop/plant-mbumive","Bucephalandra 'Mini Velvet'")</f>
        <v/>
      </c>
      <c r="B489" s="16" t="inlineStr">
        <is>
          <t>Bucephalandra 'Mini Velvet'</t>
        </is>
      </c>
      <c r="C489" s="17" t="inlineStr"/>
      <c r="D489" s="17" t="inlineStr">
        <is>
          <t>Seasonal</t>
        </is>
      </c>
    </row>
    <row r="490">
      <c r="A490" s="15">
        <f>HYPERLINK("https://shoreaquatic.com/shop/plant-mburama","Bucephalandra 'Rainbow Marble'")</f>
        <v/>
      </c>
      <c r="B490" s="16" t="inlineStr">
        <is>
          <t>Bucephalandra 'Rainbow Marble'</t>
        </is>
      </c>
      <c r="C490" s="17" t="inlineStr"/>
      <c r="D490" s="17" t="inlineStr">
        <is>
          <t>Seasonal</t>
        </is>
      </c>
    </row>
    <row r="491">
      <c r="A491" s="15">
        <f>HYPERLINK("https://shoreaquatic.com/shop/plant-mbureda","Bucephalandra 'Red Dagger'")</f>
        <v/>
      </c>
      <c r="B491" s="16" t="inlineStr">
        <is>
          <t>Bucephalandra 'Red Dagger'</t>
        </is>
      </c>
      <c r="C491" s="17" t="inlineStr"/>
      <c r="D491" s="17" t="inlineStr">
        <is>
          <t>Seasonal</t>
        </is>
      </c>
    </row>
    <row r="492">
      <c r="A492" s="15">
        <f>HYPERLINK("https://shoreaquatic.com/shop/plant-mburemi","Bucephalandra 'Red Mini'")</f>
        <v/>
      </c>
      <c r="B492" s="16" t="inlineStr">
        <is>
          <t>Bucephalandra 'Red Mini'</t>
        </is>
      </c>
      <c r="C492" s="17" t="inlineStr"/>
      <c r="D492" s="17" t="inlineStr">
        <is>
          <t>Seasonal</t>
        </is>
      </c>
    </row>
    <row r="493">
      <c r="A493" s="15">
        <f>HYPERLINK("https://shoreaquatic.com/shop/plant-mbuthre","Bucephalandra 'Theia Red'")</f>
        <v/>
      </c>
      <c r="B493" s="16" t="inlineStr">
        <is>
          <t>Bucephalandra 'Theia Red'</t>
        </is>
      </c>
      <c r="C493" s="17" t="inlineStr"/>
      <c r="D493" s="17" t="inlineStr">
        <is>
          <t>Seasonal</t>
        </is>
      </c>
    </row>
    <row r="494">
      <c r="A494" s="15">
        <f>HYPERLINK("https://shoreaquatic.com/shop/plant-mbutita","Bucephalandra 'Titan'")</f>
        <v/>
      </c>
      <c r="B494" s="16" t="inlineStr">
        <is>
          <t>Bucephalandra 'Titan'</t>
        </is>
      </c>
      <c r="C494" s="17" t="inlineStr"/>
      <c r="D494" s="17" t="inlineStr">
        <is>
          <t>Seasonal</t>
        </is>
      </c>
    </row>
    <row r="495">
      <c r="A495" s="15">
        <f>HYPERLINK("https://shoreaquatic.com/shop/plant-mbuwdg","Bucephalandra 'Wavy Dark Green'")</f>
        <v/>
      </c>
      <c r="B495" s="16" t="inlineStr">
        <is>
          <t>Bucephalandra 'Wavy Dark Green'</t>
        </is>
      </c>
      <c r="C495" s="17" t="inlineStr"/>
      <c r="D495" s="17" t="inlineStr">
        <is>
          <t>Seasonal</t>
        </is>
      </c>
    </row>
    <row r="496">
      <c r="A496" s="15">
        <f>HYPERLINK("https://shoreaquatic.com/shop/plant-mbubrad","Bucephalandra Brownie 'Adinda'")</f>
        <v/>
      </c>
      <c r="B496" s="16" t="inlineStr">
        <is>
          <t>Bucephalandra brownie 'Adinda'</t>
        </is>
      </c>
      <c r="C496" s="17" t="inlineStr"/>
      <c r="D496" s="17" t="inlineStr">
        <is>
          <t>Seasonal</t>
        </is>
      </c>
    </row>
    <row r="497">
      <c r="A497" s="15">
        <f>HYPERLINK("https://shoreaquatic.com/shop/plant-mbubrph","Bucephalandra Brownie 'Phoenix'")</f>
        <v/>
      </c>
      <c r="B497" s="16" t="inlineStr">
        <is>
          <t>Bucephalandra brownie 'Phoenix'</t>
        </is>
      </c>
      <c r="C497" s="17" t="inlineStr"/>
      <c r="D497" s="17" t="inlineStr">
        <is>
          <t>Seasonal</t>
        </is>
      </c>
    </row>
    <row r="498">
      <c r="A498" s="15">
        <f>HYPERLINK("https://shoreaquatic.com/shop/plant-acapm","Capuroni")</f>
        <v/>
      </c>
      <c r="B498" s="16" t="inlineStr">
        <is>
          <t>Aponogeton capuronii</t>
        </is>
      </c>
      <c r="C498" s="17" t="inlineStr">
        <is>
          <t>Medium</t>
        </is>
      </c>
      <c r="D498" s="17" t="inlineStr">
        <is>
          <t>Seasonal</t>
        </is>
      </c>
    </row>
    <row r="499">
      <c r="A499" s="15">
        <f>HYPERLINK("https://shoreaquatic.com/shop/plant-acapl","Capuroni")</f>
        <v/>
      </c>
      <c r="B499" s="16" t="inlineStr">
        <is>
          <t>Aponogeton capuronii</t>
        </is>
      </c>
      <c r="C499" s="17" t="inlineStr">
        <is>
          <t>Large</t>
        </is>
      </c>
      <c r="D499" s="17" t="inlineStr">
        <is>
          <t>Seasonal</t>
        </is>
      </c>
    </row>
    <row r="500">
      <c r="A500" s="15">
        <f>HYPERLINK("https://shoreaquatic.com/shop/plant-acapx","Capuroni")</f>
        <v/>
      </c>
      <c r="B500" s="16" t="inlineStr">
        <is>
          <t>Aponogeton capuronii</t>
        </is>
      </c>
      <c r="C500" s="17" t="inlineStr">
        <is>
          <t>X-Large</t>
        </is>
      </c>
      <c r="D500" s="17" t="inlineStr">
        <is>
          <t>Seasonal</t>
        </is>
      </c>
    </row>
    <row r="501">
      <c r="A501" s="15">
        <f>HYPERLINK("https://shoreaquatic.com/shop/plant-acapb","Capuroni Bulbs")</f>
        <v/>
      </c>
      <c r="B501" s="16" t="inlineStr">
        <is>
          <t>Aponogeton capuronii</t>
        </is>
      </c>
      <c r="C501" s="17" t="inlineStr"/>
      <c r="D501" s="17" t="inlineStr">
        <is>
          <t>Seasonal</t>
        </is>
      </c>
    </row>
    <row r="502">
      <c r="A502" s="15">
        <f>HYPERLINK("https://shoreaquatic.com/shop/plant-mcapl","Cardinal Plant")</f>
        <v/>
      </c>
      <c r="B502" s="16" t="inlineStr">
        <is>
          <t>Lobelia cardinalis 'Small Form'</t>
        </is>
      </c>
      <c r="C502" s="17" t="inlineStr"/>
      <c r="D502" s="17" t="inlineStr">
        <is>
          <t>In Stock</t>
        </is>
      </c>
    </row>
    <row r="503">
      <c r="A503" s="15">
        <f>HYPERLINK("https://shoreaquatic.com/shop/plant-schi","Chilensis")</f>
        <v/>
      </c>
      <c r="B503" s="16" t="inlineStr">
        <is>
          <t>Sagittaria platyphylla</t>
        </is>
      </c>
      <c r="C503" s="17" t="inlineStr"/>
      <c r="D503" s="17" t="inlineStr">
        <is>
          <t>In Stock</t>
        </is>
      </c>
    </row>
    <row r="504">
      <c r="A504" s="15">
        <f>HYPERLINK("https://shoreaquatic.com/shop/plant-vcon","Contortion")</f>
        <v/>
      </c>
      <c r="B504" s="16" t="inlineStr">
        <is>
          <t>Vallisneria asiatica</t>
        </is>
      </c>
      <c r="C504" s="17" t="inlineStr"/>
      <c r="D504" s="17" t="inlineStr">
        <is>
          <t>In Stock</t>
        </is>
      </c>
    </row>
    <row r="505">
      <c r="A505" s="15">
        <f>HYPERLINK("https://shoreaquatic.com/shop/plant-vconb","Contortion Bunch")</f>
        <v/>
      </c>
      <c r="B505" s="16" t="inlineStr">
        <is>
          <t>Vallisneria asiatica</t>
        </is>
      </c>
      <c r="C505" s="17" t="inlineStr"/>
      <c r="D505" s="17" t="inlineStr">
        <is>
          <t>In Stock</t>
        </is>
      </c>
    </row>
    <row r="506">
      <c r="A506" s="15">
        <f>HYPERLINK("https://shoreaquatic.com/shop/plant-vcor","Corkscrew")</f>
        <v/>
      </c>
      <c r="B506" s="16" t="inlineStr">
        <is>
          <t>Vallisneria americana var. biwaensis</t>
        </is>
      </c>
      <c r="C506" s="17" t="inlineStr"/>
      <c r="D506" s="17" t="inlineStr">
        <is>
          <t>In Stock</t>
        </is>
      </c>
    </row>
    <row r="507">
      <c r="A507" s="15">
        <f>HYPERLINK("https://shoreaquatic.com/shop/plant-vcorb","Corkscrew Bunch")</f>
        <v/>
      </c>
      <c r="B507" s="16" t="inlineStr">
        <is>
          <t>Vallisneria americana var. biwaensis</t>
        </is>
      </c>
      <c r="C507" s="17" t="inlineStr"/>
      <c r="D507" s="17" t="inlineStr">
        <is>
          <t>Ask / Seasonal</t>
        </is>
      </c>
    </row>
    <row r="508">
      <c r="A508" s="15">
        <f>HYPERLINK("https://shoreaquatic.com/shop/plant-mcrcal","Crinum Calamistratum")</f>
        <v/>
      </c>
      <c r="B508" s="16" t="inlineStr">
        <is>
          <t>Crinum calamistratum</t>
        </is>
      </c>
      <c r="C508" s="17" t="inlineStr"/>
      <c r="D508" s="17" t="inlineStr">
        <is>
          <t>In Stock</t>
        </is>
      </c>
    </row>
    <row r="509">
      <c r="A509" s="15">
        <f>HYPERLINK("https://shoreaquatic.com/shop/plant-acrim","Crispus")</f>
        <v/>
      </c>
      <c r="B509" s="16" t="inlineStr">
        <is>
          <t>Aponogeton crispus</t>
        </is>
      </c>
      <c r="C509" s="17" t="inlineStr">
        <is>
          <t>Medium</t>
        </is>
      </c>
      <c r="D509" s="17" t="inlineStr">
        <is>
          <t>In Stock</t>
        </is>
      </c>
    </row>
    <row r="510">
      <c r="A510" s="15">
        <f>HYPERLINK("https://shoreaquatic.com/shop/plant-acril","Crispus")</f>
        <v/>
      </c>
      <c r="B510" s="16" t="inlineStr">
        <is>
          <t>Aponogeton crispus</t>
        </is>
      </c>
      <c r="C510" s="17" t="inlineStr">
        <is>
          <t>Large</t>
        </is>
      </c>
      <c r="D510" s="17" t="inlineStr">
        <is>
          <t>In Stock</t>
        </is>
      </c>
    </row>
    <row r="511">
      <c r="A511" s="15">
        <f>HYPERLINK("https://shoreaquatic.com/shop/plant-acrix","Crispus")</f>
        <v/>
      </c>
      <c r="B511" s="16" t="inlineStr">
        <is>
          <t>Aponogeton crispus</t>
        </is>
      </c>
      <c r="C511" s="17" t="inlineStr">
        <is>
          <t>X-Large</t>
        </is>
      </c>
      <c r="D511" s="17" t="inlineStr">
        <is>
          <t>Seasonal</t>
        </is>
      </c>
    </row>
    <row r="512">
      <c r="A512" s="15">
        <f>HYPERLINK("https://shoreaquatic.com/shop/plant-mcyhe","Cyperus Helferi")</f>
        <v/>
      </c>
      <c r="B512" s="16" t="inlineStr">
        <is>
          <t>Cyperus helferi</t>
        </is>
      </c>
      <c r="C512" s="17" t="inlineStr">
        <is>
          <t>Medium</t>
        </is>
      </c>
      <c r="D512" s="17" t="inlineStr">
        <is>
          <t>In Stock</t>
        </is>
      </c>
    </row>
    <row r="513">
      <c r="A513" s="15">
        <f>HYPERLINK("https://shoreaquatic.com/shop/plant-mducxl","Duckweed")</f>
        <v/>
      </c>
      <c r="B513" s="16" t="inlineStr">
        <is>
          <t>Lemna minor</t>
        </is>
      </c>
      <c r="C513" s="17" t="inlineStr">
        <is>
          <t>X-Large</t>
        </is>
      </c>
      <c r="D513" s="17" t="inlineStr">
        <is>
          <t>In Stock</t>
        </is>
      </c>
    </row>
    <row r="514">
      <c r="A514" s="15">
        <f>HYPERLINK("https://shoreaquatic.com/shop/plant-mdwli","Dwarf Lily")</f>
        <v/>
      </c>
      <c r="B514" s="16" t="inlineStr">
        <is>
          <t>Nymphaea rubra</t>
        </is>
      </c>
      <c r="C514" s="17" t="inlineStr"/>
      <c r="D514" s="17" t="inlineStr">
        <is>
          <t>Seasonal</t>
        </is>
      </c>
    </row>
    <row r="515">
      <c r="A515" s="15">
        <f>HYPERLINK("https://shoreaquatic.com/shop/plant-phamdw","Hairgrass, Mini 6-24")</f>
        <v/>
      </c>
      <c r="B515" s="16" t="inlineStr">
        <is>
          <t>Eleocharis acicularis 'mini'</t>
        </is>
      </c>
      <c r="C515" s="17" t="inlineStr"/>
      <c r="D515" s="17" t="inlineStr">
        <is>
          <t>In Stock</t>
        </is>
      </c>
    </row>
    <row r="516">
      <c r="A516" s="15">
        <f>HYPERLINK("https://shoreaquatic.com/shop/plant-phegr","Hedge, Green 6-24")</f>
        <v/>
      </c>
      <c r="B516" s="16" t="inlineStr">
        <is>
          <t>Alternanthera ficoidea</t>
        </is>
      </c>
      <c r="C516" s="17" t="inlineStr"/>
      <c r="D516" s="17" t="inlineStr">
        <is>
          <t>Seasonal</t>
        </is>
      </c>
    </row>
    <row r="517">
      <c r="A517" s="15">
        <f>HYPERLINK("https://shoreaquatic.com/shop/plant-phyja","Hydrocotyle Sp. Japan 6-24")</f>
        <v/>
      </c>
      <c r="B517" s="16" t="inlineStr">
        <is>
          <t>Hydrocotyle tripartita 'Japan'</t>
        </is>
      </c>
      <c r="C517" s="17" t="inlineStr"/>
      <c r="D517" s="17" t="inlineStr">
        <is>
          <t>Ask / Seasonal</t>
        </is>
      </c>
    </row>
    <row r="518">
      <c r="A518" s="15">
        <f>HYPERLINK("https://shoreaquatic.com/shop/plant-phyco","Hygrophila 'Compact' 6-24")</f>
        <v/>
      </c>
      <c r="B518" s="16" t="inlineStr">
        <is>
          <t>Hygrophila corymbosa 'Kompakt'</t>
        </is>
      </c>
      <c r="C518" s="17" t="inlineStr"/>
      <c r="D518" s="17" t="inlineStr">
        <is>
          <t>Ask / Seasonal</t>
        </is>
      </c>
    </row>
    <row r="519">
      <c r="A519" s="15">
        <f>HYPERLINK("https://shoreaquatic.com/shop/plant-phypi","Hygrophila 'Pinnatifida' 6-24")</f>
        <v/>
      </c>
      <c r="B519" s="16" t="inlineStr">
        <is>
          <t>Hygrophila pinnatifida</t>
        </is>
      </c>
      <c r="C519" s="17" t="inlineStr"/>
      <c r="D519" s="17" t="inlineStr">
        <is>
          <t>Ask / Seasonal</t>
        </is>
      </c>
    </row>
    <row r="520">
      <c r="A520" s="15">
        <f>HYPERLINK("https://shoreaquatic.com/shop/plant-phyar","Hygrophila Araguaia 6-24")</f>
        <v/>
      </c>
      <c r="B520" s="16" t="inlineStr">
        <is>
          <t>Hygrophila lancea 'Araguaia'</t>
        </is>
      </c>
      <c r="C520" s="17" t="inlineStr"/>
      <c r="D520" s="17" t="inlineStr">
        <is>
          <t>Seasonal</t>
        </is>
      </c>
    </row>
    <row r="521">
      <c r="A521" s="15">
        <f>HYPERLINK("https://shoreaquatic.com/shop/plant-vita","Italian")</f>
        <v/>
      </c>
      <c r="B521" s="16" t="inlineStr">
        <is>
          <t>Vallisneria spiralis</t>
        </is>
      </c>
      <c r="C521" s="17" t="inlineStr"/>
      <c r="D521" s="17" t="inlineStr">
        <is>
          <t>In Stock</t>
        </is>
      </c>
    </row>
    <row r="522">
      <c r="A522" s="15">
        <f>HYPERLINK("https://shoreaquatic.com/shop/plant-vitab","Italian Bunch")</f>
        <v/>
      </c>
      <c r="B522" s="16" t="inlineStr">
        <is>
          <t>Vallisneria spiralis</t>
        </is>
      </c>
      <c r="C522" s="17" t="inlineStr"/>
      <c r="D522" s="17" t="inlineStr">
        <is>
          <t>Ask / Seasonal</t>
        </is>
      </c>
    </row>
    <row r="523">
      <c r="A523" s="15">
        <f>HYPERLINK("https://shoreaquatic.com/shop/plant-vjun","Jungle")</f>
        <v/>
      </c>
      <c r="B523" s="16" t="inlineStr">
        <is>
          <t>Vallisneria americana var. americana</t>
        </is>
      </c>
      <c r="C523" s="17" t="inlineStr"/>
      <c r="D523" s="17" t="inlineStr">
        <is>
          <t>In Stock</t>
        </is>
      </c>
    </row>
    <row r="524">
      <c r="A524" s="15">
        <f>HYPERLINK("https://shoreaquatic.com/shop/plant-alonb","Long. Bulbs")</f>
        <v/>
      </c>
      <c r="B524" s="16" t="inlineStr">
        <is>
          <t>Aponogeton longiplumulosus</t>
        </is>
      </c>
      <c r="C524" s="17" t="inlineStr"/>
      <c r="D524" s="17" t="inlineStr">
        <is>
          <t>In Stock</t>
        </is>
      </c>
    </row>
    <row r="525">
      <c r="A525" s="15">
        <f>HYPERLINK("https://shoreaquatic.com/shop/plant-alonm","Longiplumulosus")</f>
        <v/>
      </c>
      <c r="B525" s="16" t="inlineStr">
        <is>
          <t>Aponogeton longiplumulosus</t>
        </is>
      </c>
      <c r="C525" s="17" t="inlineStr">
        <is>
          <t>Medium</t>
        </is>
      </c>
      <c r="D525" s="17" t="inlineStr">
        <is>
          <t>Ask / Seasonal</t>
        </is>
      </c>
    </row>
    <row r="526">
      <c r="A526" s="15">
        <f>HYPERLINK("https://shoreaquatic.com/shop/plant-alonl","Longiplumulosus")</f>
        <v/>
      </c>
      <c r="B526" s="16" t="inlineStr">
        <is>
          <t>Aponogeton longiplumulosus</t>
        </is>
      </c>
      <c r="C526" s="17" t="inlineStr">
        <is>
          <t>Large</t>
        </is>
      </c>
      <c r="D526" s="17" t="inlineStr">
        <is>
          <t>Seasonal</t>
        </is>
      </c>
    </row>
    <row r="527">
      <c r="A527" s="15">
        <f>HYPERLINK("https://shoreaquatic.com/shop/plant-alonx","Longiplumulosus")</f>
        <v/>
      </c>
      <c r="B527" s="16" t="inlineStr">
        <is>
          <t>Aponogeton longiplumulosus</t>
        </is>
      </c>
      <c r="C527" s="17" t="inlineStr">
        <is>
          <t>X-Large</t>
        </is>
      </c>
      <c r="D527" s="17" t="inlineStr">
        <is>
          <t>Seasonal</t>
        </is>
      </c>
    </row>
    <row r="528">
      <c r="A528" s="15">
        <f>HYPERLINK("https://shoreaquatic.com/shop/plant-mbasp","Lucky Bamboo Spiral")</f>
        <v/>
      </c>
      <c r="B528" s="16" t="inlineStr">
        <is>
          <t>Dracaena sanderiana</t>
        </is>
      </c>
      <c r="C528" s="17" t="inlineStr"/>
      <c r="D528" s="17" t="inlineStr">
        <is>
          <t>Seasonal</t>
        </is>
      </c>
    </row>
    <row r="529">
      <c r="A529" s="15">
        <f>HYPERLINK("https://shoreaquatic.com/shop/plant-mbast","Lucky Bamboo Straight")</f>
        <v/>
      </c>
      <c r="B529" s="16" t="inlineStr">
        <is>
          <t>Dracaena sanderiana</t>
        </is>
      </c>
      <c r="C529" s="17" t="inlineStr"/>
      <c r="D529" s="17" t="inlineStr">
        <is>
          <t>Seasonal</t>
        </is>
      </c>
    </row>
    <row r="530">
      <c r="A530" s="15">
        <f>HYPERLINK("https://shoreaquatic.com/shop/plant-amalab","Mad. Lace Bulbs")</f>
        <v/>
      </c>
      <c r="B530" s="16" t="inlineStr">
        <is>
          <t>Aponogeton madagascariensis</t>
        </is>
      </c>
      <c r="C530" s="17" t="inlineStr"/>
      <c r="D530" s="17" t="inlineStr">
        <is>
          <t>Ask / Seasonal</t>
        </is>
      </c>
    </row>
    <row r="531">
      <c r="A531" s="15">
        <f>HYPERLINK("https://shoreaquatic.com/shop/plant-pmimo","Micranthemum 'Monte Carlo' 6-24")</f>
        <v/>
      </c>
      <c r="B531" s="16" t="inlineStr">
        <is>
          <t>Micranthemum tweediei 'Monte Carlo'</t>
        </is>
      </c>
      <c r="C531" s="17" t="inlineStr"/>
      <c r="D531" s="17" t="inlineStr">
        <is>
          <t>Ask / Seasonal</t>
        </is>
      </c>
    </row>
    <row r="532">
      <c r="A532" s="15">
        <f>HYPERLINK("https://shoreaquatic.com/shop/plant-pmiswn","Micro Sword Narrow 6-24")</f>
        <v/>
      </c>
      <c r="B532" s="16" t="inlineStr">
        <is>
          <t>Lilaeopsis mauritiana</t>
        </is>
      </c>
      <c r="C532" s="17" t="inlineStr"/>
      <c r="D532" s="17" t="inlineStr">
        <is>
          <t>In Stock</t>
        </is>
      </c>
    </row>
    <row r="533">
      <c r="A533" s="15">
        <f>HYPERLINK("https://shoreaquatic.com/shop/plant-pmisw","Micro Sword. 6-24")</f>
        <v/>
      </c>
      <c r="B533" s="16" t="inlineStr">
        <is>
          <t>Lilaeopsis brasiliensis</t>
        </is>
      </c>
      <c r="C533" s="17" t="inlineStr"/>
      <c r="D533" s="17" t="inlineStr">
        <is>
          <t>In Stock</t>
        </is>
      </c>
    </row>
    <row r="534">
      <c r="A534" s="15">
        <f>HYPERLINK("https://shoreaquatic.com/shop/plant-pmon","Moneywort. 6-24")</f>
        <v/>
      </c>
      <c r="B534" s="16" t="inlineStr">
        <is>
          <t>Bacopa monnieri</t>
        </is>
      </c>
      <c r="C534" s="17" t="inlineStr"/>
      <c r="D534" s="17" t="inlineStr">
        <is>
          <t>Ask / Seasonal</t>
        </is>
      </c>
    </row>
    <row r="535">
      <c r="A535" s="15">
        <f>HYPERLINK("https://shoreaquatic.com/shop/plant-vnan","Nana")</f>
        <v/>
      </c>
      <c r="B535" s="16" t="inlineStr">
        <is>
          <t>Vallisneria nana</t>
        </is>
      </c>
      <c r="C535" s="17" t="inlineStr"/>
      <c r="D535" s="17" t="inlineStr">
        <is>
          <t>Seasonal</t>
        </is>
      </c>
    </row>
    <row r="536">
      <c r="A536" s="15">
        <f>HYPERLINK("https://shoreaquatic.com/shop/plant-vnanb","Nana Bunch")</f>
        <v/>
      </c>
      <c r="B536" s="16" t="inlineStr">
        <is>
          <t>Vallisneria nana</t>
        </is>
      </c>
      <c r="C536" s="17" t="inlineStr"/>
      <c r="D536" s="17" t="inlineStr">
        <is>
          <t>Seasonal</t>
        </is>
      </c>
    </row>
    <row r="537">
      <c r="A537" s="15">
        <f>HYPERLINK("https://shoreaquatic.com/shop/plant-ppen","Pennywort. 6-24")</f>
        <v/>
      </c>
      <c r="B537" s="16" t="inlineStr">
        <is>
          <t>Hydrocotyle leucocephala</t>
        </is>
      </c>
      <c r="C537" s="17" t="inlineStr"/>
      <c r="D537" s="17" t="inlineStr">
        <is>
          <t>Seasonal</t>
        </is>
      </c>
    </row>
    <row r="538">
      <c r="A538" s="15">
        <f>HYPERLINK("https://shoreaquatic.com/shop/plant-ppohe","Pogostemon Helferi")</f>
        <v/>
      </c>
      <c r="B538" s="16" t="inlineStr">
        <is>
          <t>Pogostemon helferi</t>
        </is>
      </c>
      <c r="C538" s="17" t="inlineStr"/>
      <c r="D538" s="17" t="inlineStr">
        <is>
          <t>Seasonal</t>
        </is>
      </c>
    </row>
    <row r="539">
      <c r="A539" s="15">
        <f>HYPERLINK("https://shoreaquatic.com/shop/plant-psadw","Sagittaria, Dwarf 6-24")</f>
        <v/>
      </c>
      <c r="B539" s="16" t="inlineStr">
        <is>
          <t>Sagittaria subulata</t>
        </is>
      </c>
      <c r="C539" s="17" t="inlineStr"/>
      <c r="D539" s="17" t="inlineStr">
        <is>
          <t>In Stock</t>
        </is>
      </c>
    </row>
    <row r="540">
      <c r="A540" s="15">
        <f>HYPERLINK("https://shoreaquatic.com/shop/plant-pscpr","Schismatoglottis Prietoi")</f>
        <v/>
      </c>
      <c r="B540" s="16" t="inlineStr">
        <is>
          <t>Schismatoglottis prietoi</t>
        </is>
      </c>
      <c r="C540" s="17" t="inlineStr"/>
      <c r="D540" s="17" t="inlineStr">
        <is>
          <t>Ask / Seasonal</t>
        </is>
      </c>
    </row>
    <row r="541">
      <c r="A541" s="15">
        <f>HYPERLINK("https://shoreaquatic.com/shop/plant-psta","Staurogyne")</f>
        <v/>
      </c>
      <c r="B541" s="16" t="inlineStr">
        <is>
          <t>Staurogyne repens</t>
        </is>
      </c>
      <c r="C541" s="17" t="inlineStr"/>
      <c r="D541" s="17" t="inlineStr">
        <is>
          <t>In Stock</t>
        </is>
      </c>
    </row>
    <row r="542">
      <c r="A542" s="15">
        <f>HYPERLINK("https://shoreaquatic.com/shop/plant-ssub","Subulata")</f>
        <v/>
      </c>
      <c r="B542" s="16" t="inlineStr">
        <is>
          <t>Sagittaria subulata</t>
        </is>
      </c>
      <c r="C542" s="17" t="inlineStr"/>
      <c r="D542" s="17" t="inlineStr">
        <is>
          <t>In Stock</t>
        </is>
      </c>
    </row>
    <row r="543">
      <c r="A543" s="15">
        <f>HYPERLINK("https://shoreaquatic.com/shop/plant-ssubb","Subulata Bunch")</f>
        <v/>
      </c>
      <c r="B543" s="16" t="inlineStr">
        <is>
          <t>Sagittaria subulata</t>
        </is>
      </c>
      <c r="C543" s="17" t="inlineStr"/>
      <c r="D543" s="17" t="inlineStr">
        <is>
          <t>Ask / Seasonal</t>
        </is>
      </c>
    </row>
    <row r="544">
      <c r="A544" s="15">
        <f>HYPERLINK("https://shoreaquatic.com/shop/plant-ssudw","Subulata, Dwarf")</f>
        <v/>
      </c>
      <c r="B544" s="16" t="inlineStr">
        <is>
          <t>Sagittaria subulata</t>
        </is>
      </c>
      <c r="C544" s="17" t="inlineStr"/>
      <c r="D544" s="17" t="inlineStr">
        <is>
          <t>In Stock</t>
        </is>
      </c>
    </row>
    <row r="545">
      <c r="A545" s="15">
        <f>HYPERLINK("https://shoreaquatic.com/shop/plant-ssudwb","Subulata, Dwarf Bunch")</f>
        <v/>
      </c>
      <c r="B545" s="16" t="inlineStr">
        <is>
          <t>Sagittaria subulata</t>
        </is>
      </c>
      <c r="C545" s="17" t="inlineStr"/>
      <c r="D545" s="17" t="inlineStr">
        <is>
          <t>Ask / Seasonal</t>
        </is>
      </c>
    </row>
    <row r="546">
      <c r="A546" s="15">
        <f>HYPERLINK("https://shoreaquatic.com/shop/plant-aulvm","Ulvaceus")</f>
        <v/>
      </c>
      <c r="B546" s="16" t="inlineStr">
        <is>
          <t>Aponogeton ulvaceus</t>
        </is>
      </c>
      <c r="C546" s="17" t="inlineStr">
        <is>
          <t>Medium</t>
        </is>
      </c>
      <c r="D546" s="17" t="inlineStr">
        <is>
          <t>Ask / Seasonal</t>
        </is>
      </c>
    </row>
    <row r="547">
      <c r="A547" s="15">
        <f>HYPERLINK("https://shoreaquatic.com/shop/plant-aulvl","Ulvaceus")</f>
        <v/>
      </c>
      <c r="B547" s="16" t="inlineStr">
        <is>
          <t>Aponogeton ulvaceus</t>
        </is>
      </c>
      <c r="C547" s="17" t="inlineStr">
        <is>
          <t>Large</t>
        </is>
      </c>
      <c r="D547" s="17" t="inlineStr">
        <is>
          <t>Seasonal</t>
        </is>
      </c>
    </row>
    <row r="548">
      <c r="A548" s="15">
        <f>HYPERLINK("https://shoreaquatic.com/shop/plant-aulvx","Ulvaceus")</f>
        <v/>
      </c>
      <c r="B548" s="16" t="inlineStr">
        <is>
          <t>Aponogeton ulvaceus</t>
        </is>
      </c>
      <c r="C548" s="17" t="inlineStr">
        <is>
          <t>X-Large</t>
        </is>
      </c>
      <c r="D548" s="17" t="inlineStr">
        <is>
          <t>Seasonal</t>
        </is>
      </c>
    </row>
    <row r="549">
      <c r="A549" s="15">
        <f>HYPERLINK("https://shoreaquatic.com/shop/plant-aulvb","Ulvaceus Bulbs")</f>
        <v/>
      </c>
      <c r="B549" s="16" t="inlineStr">
        <is>
          <t>Aponogeton ulvaceus</t>
        </is>
      </c>
      <c r="C549" s="17" t="inlineStr"/>
      <c r="D549" s="17" t="inlineStr">
        <is>
          <t>In Stock</t>
        </is>
      </c>
    </row>
  </sheetData>
  <mergeCells count="10">
    <mergeCell ref="A1:D1"/>
    <mergeCell ref="A312:D312"/>
    <mergeCell ref="A67:D67"/>
    <mergeCell ref="A4:D4"/>
    <mergeCell ref="A310:D310"/>
    <mergeCell ref="A128:D128"/>
    <mergeCell ref="A2:D2"/>
    <mergeCell ref="A449:D449"/>
    <mergeCell ref="A207:D207"/>
    <mergeCell ref="A466:D46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32" customWidth="1" min="2" max="2"/>
    <col width="20" customWidth="1" min="3" max="3"/>
    <col width="16" customWidth="1" min="4" max="4"/>
  </cols>
  <sheetData>
    <row r="1">
      <c r="A1" s="11" t="inlineStr">
        <is>
          <t>WATER GARDEN  —  Shore Aquatic Wholesale</t>
        </is>
      </c>
    </row>
    <row r="2">
      <c r="A2" s="12" t="inlineStr">
        <is>
          <t>Full range shown · pricing available to approved wholesale accounts · click a name to view online</t>
        </is>
      </c>
    </row>
    <row r="3">
      <c r="A3" s="13" t="inlineStr">
        <is>
          <t>Item (click to view)</t>
        </is>
      </c>
      <c r="B3" s="13" t="inlineStr">
        <is>
          <t>Scientific Name</t>
        </is>
      </c>
      <c r="C3" s="13" t="inlineStr">
        <is>
          <t>Size</t>
        </is>
      </c>
      <c r="D3" s="13" t="inlineStr">
        <is>
          <t>Availability</t>
        </is>
      </c>
    </row>
    <row r="4">
      <c r="A4" s="14" t="inlineStr">
        <is>
          <t xml:space="preserve">  Hardy Lily - Changeable  (5)</t>
        </is>
      </c>
    </row>
    <row r="5">
      <c r="A5" s="15">
        <f>HYPERLINK("https://shoreaquatic.com/shop/wg-hcchr","Chrysantha")</f>
        <v/>
      </c>
      <c r="B5" s="16" t="inlineStr"/>
      <c r="C5" s="17" t="inlineStr">
        <is>
          <t>Small (2-4 ft)</t>
        </is>
      </c>
      <c r="D5" s="17" t="inlineStr">
        <is>
          <t>Ask / Seasonal</t>
        </is>
      </c>
    </row>
    <row r="6">
      <c r="A6" s="15">
        <f>HYPERLINK("https://shoreaquatic.com/shop/wg-hccom","Comanche")</f>
        <v/>
      </c>
      <c r="B6" s="16" t="inlineStr"/>
      <c r="C6" s="17" t="inlineStr">
        <is>
          <t>Medium (4-6 ft)</t>
        </is>
      </c>
      <c r="D6" s="17" t="inlineStr">
        <is>
          <t>Ask / Seasonal</t>
        </is>
      </c>
    </row>
    <row r="7">
      <c r="A7" s="15">
        <f>HYPERLINK("https://shoreaquatic.com/shop/wg-hcind","Indiana")</f>
        <v/>
      </c>
      <c r="B7" s="16" t="inlineStr"/>
      <c r="C7" s="17" t="inlineStr">
        <is>
          <t>Small (2-4 ft)</t>
        </is>
      </c>
      <c r="D7" s="17" t="inlineStr">
        <is>
          <t>Ask / Seasonal</t>
        </is>
      </c>
    </row>
    <row r="8">
      <c r="A8" s="15">
        <f>HYPERLINK("https://shoreaquatic.com/shop/wg-hcpaha","Paul Hariot")</f>
        <v/>
      </c>
      <c r="B8" s="16" t="inlineStr"/>
      <c r="C8" s="17" t="inlineStr">
        <is>
          <t>Medium (4-6 ft)</t>
        </is>
      </c>
      <c r="D8" s="17" t="inlineStr">
        <is>
          <t>Ask / Seasonal</t>
        </is>
      </c>
    </row>
    <row r="9">
      <c r="A9" s="15">
        <f>HYPERLINK("https://shoreaquatic.com/shop/wg-hcsio","Sioux")</f>
        <v/>
      </c>
      <c r="B9" s="16" t="inlineStr"/>
      <c r="C9" s="17" t="inlineStr">
        <is>
          <t>Medium (4-6 ft)</t>
        </is>
      </c>
      <c r="D9" s="17" t="inlineStr">
        <is>
          <t>Ask / Seasonal</t>
        </is>
      </c>
    </row>
    <row r="10">
      <c r="A10" s="14" t="inlineStr">
        <is>
          <t xml:space="preserve">  Hardy Lily - Peach/Orange  (13)</t>
        </is>
      </c>
    </row>
    <row r="11">
      <c r="A11" s="15">
        <f>HYPERLINK("https://shoreaquatic.com/shop/wg-hpoass","Assorted Peach/Orange")</f>
        <v/>
      </c>
      <c r="B11" s="16" t="inlineStr"/>
      <c r="C11" s="17" t="inlineStr">
        <is>
          <t>Small (2-4 ft)</t>
        </is>
      </c>
      <c r="D11" s="17" t="inlineStr">
        <is>
          <t>Ask / Seasonal</t>
        </is>
      </c>
    </row>
    <row r="12">
      <c r="A12" s="15">
        <f>HYPERLINK("https://shoreaquatic.com/shop/wg-hpobado","Barbara Dobbins")</f>
        <v/>
      </c>
      <c r="B12" s="16" t="inlineStr"/>
      <c r="C12" s="17" t="inlineStr">
        <is>
          <t>Medium (4-6 ft)</t>
        </is>
      </c>
      <c r="D12" s="17" t="inlineStr">
        <is>
          <t>Ask / Seasonal</t>
        </is>
      </c>
    </row>
    <row r="13">
      <c r="A13" s="15">
        <f>HYPERLINK("https://shoreaquatic.com/shop/wg-hpoblbr","Blushing Bride")</f>
        <v/>
      </c>
      <c r="B13" s="16" t="inlineStr"/>
      <c r="C13" s="17" t="inlineStr">
        <is>
          <t>Medium (4-6 ft)</t>
        </is>
      </c>
      <c r="D13" s="17" t="inlineStr">
        <is>
          <t>Ask / Seasonal</t>
        </is>
      </c>
    </row>
    <row r="14">
      <c r="A14" s="15">
        <f>HYPERLINK("https://shoreaquatic.com/shop/wg-hpoclik","Clyde Ikins")</f>
        <v/>
      </c>
      <c r="B14" s="16" t="inlineStr"/>
      <c r="C14" s="17" t="inlineStr">
        <is>
          <t>Medium (4-6 ft)</t>
        </is>
      </c>
      <c r="D14" s="17" t="inlineStr">
        <is>
          <t>Ask / Seasonal</t>
        </is>
      </c>
    </row>
    <row r="15">
      <c r="A15" s="15">
        <f>HYPERLINK("https://shoreaquatic.com/shop/wg-hpocoba","Coral Bay")</f>
        <v/>
      </c>
      <c r="B15" s="16" t="inlineStr"/>
      <c r="C15" s="17" t="inlineStr">
        <is>
          <t>Medium (4-6 ft)</t>
        </is>
      </c>
      <c r="D15" s="17" t="inlineStr">
        <is>
          <t>Ask / Seasonal</t>
        </is>
      </c>
    </row>
    <row r="16">
      <c r="A16" s="15">
        <f>HYPERLINK("https://shoreaquatic.com/shop/wg-hpocyan","Cynthia Ann")</f>
        <v/>
      </c>
      <c r="B16" s="16" t="inlineStr"/>
      <c r="C16" s="17" t="inlineStr">
        <is>
          <t>Medium (4-6 ft)</t>
        </is>
      </c>
      <c r="D16" s="17" t="inlineStr">
        <is>
          <t>Ask / Seasonal</t>
        </is>
      </c>
    </row>
    <row r="17">
      <c r="A17" s="15">
        <f>HYPERLINK("https://shoreaquatic.com/shop/wg-hpogepe","Georgia Peach")</f>
        <v/>
      </c>
      <c r="B17" s="16" t="inlineStr"/>
      <c r="C17" s="17" t="inlineStr">
        <is>
          <t>Medium (4-6 ft)</t>
        </is>
      </c>
      <c r="D17" s="17" t="inlineStr">
        <is>
          <t>Ask / Seasonal</t>
        </is>
      </c>
    </row>
    <row r="18">
      <c r="A18" s="15">
        <f>HYPERLINK("https://shoreaquatic.com/shop/wg-hpogror","Gregg'S Orange Beauty")</f>
        <v/>
      </c>
      <c r="B18" s="16" t="inlineStr"/>
      <c r="C18" s="17" t="inlineStr">
        <is>
          <t>Medium (4-6 ft)</t>
        </is>
      </c>
      <c r="D18" s="17" t="inlineStr">
        <is>
          <t>Ask / Seasonal</t>
        </is>
      </c>
    </row>
    <row r="19">
      <c r="A19" s="15">
        <f>HYPERLINK("https://shoreaquatic.com/shop/wg-hpomaub","Mangkala Ubol")</f>
        <v/>
      </c>
      <c r="B19" s="16" t="inlineStr"/>
      <c r="C19" s="17" t="inlineStr">
        <is>
          <t>Medium (4-6 ft)</t>
        </is>
      </c>
      <c r="D19" s="17" t="inlineStr">
        <is>
          <t>Ask / Seasonal</t>
        </is>
      </c>
    </row>
    <row r="20">
      <c r="A20" s="15">
        <f>HYPERLINK("https://shoreaquatic.com/shop/wg-hpopegl","Peachglow")</f>
        <v/>
      </c>
      <c r="B20" s="16" t="inlineStr"/>
      <c r="C20" s="17" t="inlineStr">
        <is>
          <t>Medium (4-6 ft)</t>
        </is>
      </c>
      <c r="D20" s="17" t="inlineStr">
        <is>
          <t>Ask / Seasonal</t>
        </is>
      </c>
    </row>
    <row r="21">
      <c r="A21" s="15">
        <f>HYPERLINK("https://shoreaquatic.com/shop/wg-hpopigr","Pink Grapefruit")</f>
        <v/>
      </c>
      <c r="B21" s="16" t="inlineStr"/>
      <c r="C21" s="17" t="inlineStr">
        <is>
          <t>Medium (4-6 ft)</t>
        </is>
      </c>
      <c r="D21" s="17" t="inlineStr">
        <is>
          <t>Ask / Seasonal</t>
        </is>
      </c>
    </row>
    <row r="22">
      <c r="A22" s="15">
        <f>HYPERLINK("https://shoreaquatic.com/shop/wg-hysifa","Siam Fantasy")</f>
        <v/>
      </c>
      <c r="B22" s="16" t="inlineStr"/>
      <c r="C22" s="17" t="inlineStr">
        <is>
          <t>Medium (4-6 ft)</t>
        </is>
      </c>
      <c r="D22" s="17" t="inlineStr">
        <is>
          <t>Ask / Seasonal</t>
        </is>
      </c>
    </row>
    <row r="23">
      <c r="A23" s="15">
        <f>HYPERLINK("https://shoreaquatic.com/shop/wg-hpowan","Wanvisa")</f>
        <v/>
      </c>
      <c r="B23" s="16" t="inlineStr"/>
      <c r="C23" s="17" t="inlineStr">
        <is>
          <t>Medium (4-6 ft)</t>
        </is>
      </c>
      <c r="D23" s="17" t="inlineStr">
        <is>
          <t>Ask / Seasonal</t>
        </is>
      </c>
    </row>
    <row r="24">
      <c r="A24" s="14" t="inlineStr">
        <is>
          <t xml:space="preserve">  Hardy Lily - Pink  (20)</t>
        </is>
      </c>
    </row>
    <row r="25">
      <c r="A25" s="15">
        <f>HYPERLINK("https://shoreaquatic.com/shop/wg-hparc","Arc-En-Ceil")</f>
        <v/>
      </c>
      <c r="B25" s="16" t="inlineStr"/>
      <c r="C25" s="17" t="inlineStr">
        <is>
          <t>Medium (4-6 ft)</t>
        </is>
      </c>
      <c r="D25" s="17" t="inlineStr">
        <is>
          <t>Ask / Seasonal</t>
        </is>
      </c>
    </row>
    <row r="26">
      <c r="A26" s="15">
        <f>HYPERLINK("https://shoreaquatic.com/shop/wg-hpass","Assorted Pink")</f>
        <v/>
      </c>
      <c r="B26" s="16" t="inlineStr"/>
      <c r="C26" s="17" t="inlineStr"/>
      <c r="D26" s="17" t="inlineStr">
        <is>
          <t>Ask / Seasonal</t>
        </is>
      </c>
    </row>
    <row r="27">
      <c r="A27" s="15">
        <f>HYPERLINK("https://shoreaquatic.com/shop/wg-hpbeik","Bernice Ikins")</f>
        <v/>
      </c>
      <c r="B27" s="16" t="inlineStr"/>
      <c r="C27" s="17" t="inlineStr">
        <is>
          <t>Medium (4-6 ft)</t>
        </is>
      </c>
      <c r="D27" s="17" t="inlineStr">
        <is>
          <t>Ask / Seasonal</t>
        </is>
      </c>
    </row>
    <row r="28">
      <c r="A28" s="15">
        <f>HYPERLINK("https://shoreaquatic.com/shop/wg-hpcol","Colorado")</f>
        <v/>
      </c>
      <c r="B28" s="16" t="inlineStr"/>
      <c r="C28" s="17" t="inlineStr">
        <is>
          <t>Medium (4-6 ft)</t>
        </is>
      </c>
      <c r="D28" s="17" t="inlineStr">
        <is>
          <t>Ask / Seasonal</t>
        </is>
      </c>
    </row>
    <row r="29">
      <c r="A29" s="15">
        <f>HYPERLINK("https://shoreaquatic.com/shop/wg-hpdal","Dallas")</f>
        <v/>
      </c>
      <c r="B29" s="16" t="inlineStr"/>
      <c r="C29" s="17" t="inlineStr">
        <is>
          <t>Medium (4-6 ft)</t>
        </is>
      </c>
      <c r="D29" s="17" t="inlineStr">
        <is>
          <t>Ask / Seasonal</t>
        </is>
      </c>
    </row>
    <row r="30">
      <c r="A30" s="15">
        <f>HYPERLINK("https://shoreaquatic.com/shop/wg-hpfab","Fabiola")</f>
        <v/>
      </c>
      <c r="B30" s="16" t="inlineStr"/>
      <c r="C30" s="17" t="inlineStr">
        <is>
          <t>Medium (4-6 ft)</t>
        </is>
      </c>
      <c r="D30" s="17" t="inlineStr">
        <is>
          <t>Ask / Seasonal</t>
        </is>
      </c>
    </row>
    <row r="31">
      <c r="A31" s="15">
        <f>HYPERLINK("https://shoreaquatic.com/shop/wg-hpfir","Firecrest")</f>
        <v/>
      </c>
      <c r="B31" s="16" t="inlineStr"/>
      <c r="C31" s="17" t="inlineStr">
        <is>
          <t>Medium (4-6 ft)</t>
        </is>
      </c>
      <c r="D31" s="17" t="inlineStr">
        <is>
          <t>Ask / Seasonal</t>
        </is>
      </c>
    </row>
    <row r="32">
      <c r="A32" s="15">
        <f>HYPERLINK("https://shoreaquatic.com/shop/wg-hpfupo","Fuchsia Pom Pom")</f>
        <v/>
      </c>
      <c r="B32" s="16" t="inlineStr"/>
      <c r="C32" s="17" t="inlineStr">
        <is>
          <t>Medium (4-6 ft)</t>
        </is>
      </c>
      <c r="D32" s="17" t="inlineStr">
        <is>
          <t>Ask / Seasonal</t>
        </is>
      </c>
    </row>
    <row r="33">
      <c r="A33" s="15">
        <f>HYPERLINK("https://shoreaquatic.com/shop/wg-hphol","Hollandia")</f>
        <v/>
      </c>
      <c r="B33" s="16" t="inlineStr"/>
      <c r="C33" s="17" t="inlineStr">
        <is>
          <t>Medium (4-6 ft)</t>
        </is>
      </c>
      <c r="D33" s="17" t="inlineStr">
        <is>
          <t>Ask / Seasonal</t>
        </is>
      </c>
    </row>
    <row r="34">
      <c r="A34" s="15">
        <f>HYPERLINK("https://shoreaquatic.com/shop/wg-hplali","Laydekeri Lilacea")</f>
        <v/>
      </c>
      <c r="B34" s="16" t="inlineStr"/>
      <c r="C34" s="17" t="inlineStr">
        <is>
          <t>Small (2-4 ft)</t>
        </is>
      </c>
      <c r="D34" s="17" t="inlineStr">
        <is>
          <t>Ask / Seasonal</t>
        </is>
      </c>
    </row>
    <row r="35">
      <c r="A35" s="15">
        <f>HYPERLINK("https://shoreaquatic.com/shop/wg-hpmay","Mayla")</f>
        <v/>
      </c>
      <c r="B35" s="16" t="inlineStr"/>
      <c r="C35" s="17" t="inlineStr">
        <is>
          <t>Medium (4-6 ft)</t>
        </is>
      </c>
      <c r="D35" s="17" t="inlineStr">
        <is>
          <t>Ask / Seasonal</t>
        </is>
      </c>
    </row>
    <row r="36">
      <c r="A36" s="15">
        <f>HYPERLINK("https://shoreaquatic.com/shop/wg-hpmisi","Miss Siam")</f>
        <v/>
      </c>
      <c r="B36" s="16" t="inlineStr"/>
      <c r="C36" s="17" t="inlineStr">
        <is>
          <t>Medium (4-6 ft)</t>
        </is>
      </c>
      <c r="D36" s="17" t="inlineStr">
        <is>
          <t>Ask / Seasonal</t>
        </is>
      </c>
    </row>
    <row r="37">
      <c r="A37" s="15">
        <f>HYPERLINK("https://shoreaquatic.com/shop/wg-hpmmwi","Mme Wilfron Gonnere")</f>
        <v/>
      </c>
      <c r="B37" s="16" t="inlineStr"/>
      <c r="C37" s="17" t="inlineStr">
        <is>
          <t>Medium (4-6 ft)</t>
        </is>
      </c>
      <c r="D37" s="17" t="inlineStr">
        <is>
          <t>Ask / Seasonal</t>
        </is>
      </c>
    </row>
    <row r="38">
      <c r="A38" s="15">
        <f>HYPERLINK("https://shoreaquatic.com/shop/wg-hppac","Packaged Pink")</f>
        <v/>
      </c>
      <c r="B38" s="16" t="inlineStr"/>
      <c r="C38" s="17" t="inlineStr"/>
      <c r="D38" s="17" t="inlineStr">
        <is>
          <t>Ask / Seasonal</t>
        </is>
      </c>
    </row>
    <row r="39">
      <c r="A39" s="15">
        <f>HYPERLINK("https://shoreaquatic.com/shop/wg-hppala","Painted Lady")</f>
        <v/>
      </c>
      <c r="B39" s="16" t="inlineStr"/>
      <c r="C39" s="17" t="inlineStr">
        <is>
          <t>Medium (4-6 ft)</t>
        </is>
      </c>
      <c r="D39" s="17" t="inlineStr">
        <is>
          <t>Ask / Seasonal</t>
        </is>
      </c>
    </row>
    <row r="40">
      <c r="A40" s="15">
        <f>HYPERLINK("https://shoreaquatic.com/shop/wg-hppajo","Patio Joe")</f>
        <v/>
      </c>
      <c r="B40" s="16" t="inlineStr"/>
      <c r="C40" s="17" t="inlineStr">
        <is>
          <t>Medium (4-6 ft)</t>
        </is>
      </c>
      <c r="D40" s="17" t="inlineStr">
        <is>
          <t>Ask / Seasonal</t>
        </is>
      </c>
    </row>
    <row r="41">
      <c r="A41" s="15">
        <f>HYPERLINK("https://shoreaquatic.com/shop/wg-hppefi","Perry'S Fire Opal")</f>
        <v/>
      </c>
      <c r="B41" s="16" t="inlineStr"/>
      <c r="C41" s="17" t="inlineStr">
        <is>
          <t>Medium (4-6 ft)</t>
        </is>
      </c>
      <c r="D41" s="17" t="inlineStr">
        <is>
          <t>Ask / Seasonal</t>
        </is>
      </c>
    </row>
    <row r="42">
      <c r="A42" s="15">
        <f>HYPERLINK("https://shoreaquatic.com/shop/wg-hppibl","Pigeon Blood")</f>
        <v/>
      </c>
      <c r="B42" s="16" t="inlineStr"/>
      <c r="C42" s="17" t="inlineStr">
        <is>
          <t>Medium (4-6 ft)</t>
        </is>
      </c>
      <c r="D42" s="17" t="inlineStr">
        <is>
          <t>Ask / Seasonal</t>
        </is>
      </c>
    </row>
    <row r="43">
      <c r="A43" s="15">
        <f>HYPERLINK("https://shoreaquatic.com/shop/wg-hppise","Pink Sensation")</f>
        <v/>
      </c>
      <c r="B43" s="16" t="inlineStr"/>
      <c r="C43" s="17" t="inlineStr">
        <is>
          <t>Medium (4-6 ft)</t>
        </is>
      </c>
      <c r="D43" s="17" t="inlineStr">
        <is>
          <t>Ask / Seasonal</t>
        </is>
      </c>
    </row>
    <row r="44">
      <c r="A44" s="15">
        <f>HYPERLINK("https://shoreaquatic.com/shop/wg-hppisu","Pink Sunrise")</f>
        <v/>
      </c>
      <c r="B44" s="16" t="inlineStr"/>
      <c r="C44" s="17" t="inlineStr">
        <is>
          <t>Medium (4-6 ft)</t>
        </is>
      </c>
      <c r="D44" s="17" t="inlineStr">
        <is>
          <t>Ask / Seasonal</t>
        </is>
      </c>
    </row>
    <row r="45">
      <c r="A45" s="14" t="inlineStr">
        <is>
          <t xml:space="preserve">  Hardy Lily - Potted  (12)</t>
        </is>
      </c>
    </row>
    <row r="46">
      <c r="A46" s="15">
        <f>HYPERLINK("https://shoreaquatic.com/shop/wg-hrattpot","Attraction Potted")</f>
        <v/>
      </c>
      <c r="B46" s="16" t="inlineStr"/>
      <c r="C46" s="17" t="inlineStr">
        <is>
          <t>Medium (4-6 ft)</t>
        </is>
      </c>
      <c r="D46" s="17" t="inlineStr">
        <is>
          <t>Ask / Seasonal</t>
        </is>
      </c>
    </row>
    <row r="47">
      <c r="A47" s="15">
        <f>HYPERLINK("https://shoreaquatic.com/shop/wg-hychrpot","Chromatella Potted")</f>
        <v/>
      </c>
      <c r="B47" s="16" t="inlineStr"/>
      <c r="C47" s="17" t="inlineStr">
        <is>
          <t>Medium (4-6 ft)</t>
        </is>
      </c>
      <c r="D47" s="17" t="inlineStr">
        <is>
          <t>Ask / Seasonal</t>
        </is>
      </c>
    </row>
    <row r="48">
      <c r="A48" s="15">
        <f>HYPERLINK("https://shoreaquatic.com/shop/wg-hpoclikpot","Clyde Ikins Potted")</f>
        <v/>
      </c>
      <c r="B48" s="16" t="inlineStr"/>
      <c r="C48" s="17" t="inlineStr">
        <is>
          <t>Medium (4-6 ft)</t>
        </is>
      </c>
      <c r="D48" s="17" t="inlineStr">
        <is>
          <t>Ask / Seasonal</t>
        </is>
      </c>
    </row>
    <row r="49">
      <c r="A49" s="15">
        <f>HYPERLINK("https://shoreaquatic.com/shop/wg-hwgonpot","Gonnere Potted")</f>
        <v/>
      </c>
      <c r="B49" s="16" t="inlineStr"/>
      <c r="C49" s="17" t="inlineStr">
        <is>
          <t>Medium (4-6 ft)</t>
        </is>
      </c>
      <c r="D49" s="17" t="inlineStr">
        <is>
          <t>Ask / Seasonal</t>
        </is>
      </c>
    </row>
    <row r="50">
      <c r="A50" s="15">
        <f>HYPERLINK("https://shoreaquatic.com/shop/wg-hrgyppot","Gypsy Potted")</f>
        <v/>
      </c>
      <c r="B50" s="16" t="inlineStr"/>
      <c r="C50" s="17" t="inlineStr">
        <is>
          <t>Medium (4-6 ft)</t>
        </is>
      </c>
      <c r="D50" s="17" t="inlineStr">
        <is>
          <t>Ask / Seasonal</t>
        </is>
      </c>
    </row>
    <row r="51">
      <c r="A51" s="15">
        <f>HYPERLINK("https://shoreaquatic.com/shop/wg-hpholpot","Hollandia Potted")</f>
        <v/>
      </c>
      <c r="B51" s="16" t="inlineStr"/>
      <c r="C51" s="17" t="inlineStr">
        <is>
          <t>Medium (4-6 ft)</t>
        </is>
      </c>
      <c r="D51" s="17" t="inlineStr">
        <is>
          <t>Ask / Seasonal</t>
        </is>
      </c>
    </row>
    <row r="52">
      <c r="A52" s="15">
        <f>HYPERLINK("https://shoreaquatic.com/shop/wg-hwmaalpot","Marliacea Albida Potted")</f>
        <v/>
      </c>
      <c r="B52" s="16" t="inlineStr"/>
      <c r="C52" s="17" t="inlineStr">
        <is>
          <t>Medium (4-6 ft)</t>
        </is>
      </c>
      <c r="D52" s="17" t="inlineStr">
        <is>
          <t>Ask / Seasonal</t>
        </is>
      </c>
    </row>
    <row r="53">
      <c r="A53" s="15">
        <f>HYPERLINK("https://shoreaquatic.com/shop/wg-hpmmwipot","Mme Wilfron Gonnere Potted")</f>
        <v/>
      </c>
      <c r="B53" s="16" t="inlineStr"/>
      <c r="C53" s="17" t="inlineStr">
        <is>
          <t>Medium (4-6 ft)</t>
        </is>
      </c>
      <c r="D53" s="17" t="inlineStr">
        <is>
          <t>Ask / Seasonal</t>
        </is>
      </c>
    </row>
    <row r="54">
      <c r="A54" s="15">
        <f>HYPERLINK("https://shoreaquatic.com/shop/wg-hrrempot","Rembrandt Potted")</f>
        <v/>
      </c>
      <c r="B54" s="16" t="inlineStr"/>
      <c r="C54" s="17" t="inlineStr">
        <is>
          <t>Medium (4-6 ft)</t>
        </is>
      </c>
      <c r="D54" s="17" t="inlineStr">
        <is>
          <t>Ask / Seasonal</t>
        </is>
      </c>
    </row>
    <row r="55">
      <c r="A55" s="15">
        <f>HYPERLINK("https://shoreaquatic.com/shop/wg-hytedapot","Texas Dawn Potted")</f>
        <v/>
      </c>
      <c r="B55" s="16" t="inlineStr"/>
      <c r="C55" s="17" t="inlineStr">
        <is>
          <t>Medium (4-6 ft)</t>
        </is>
      </c>
      <c r="D55" s="17" t="inlineStr">
        <is>
          <t>Ask / Seasonal</t>
        </is>
      </c>
    </row>
    <row r="56">
      <c r="A56" s="15">
        <f>HYPERLINK("https://shoreaquatic.com/shop/wg-hwvirapot","Virginia Potted")</f>
        <v/>
      </c>
      <c r="B56" s="16" t="inlineStr"/>
      <c r="C56" s="17" t="inlineStr">
        <is>
          <t>Large (6+ ft)</t>
        </is>
      </c>
      <c r="D56" s="17" t="inlineStr">
        <is>
          <t>Ask / Seasonal</t>
        </is>
      </c>
    </row>
    <row r="57">
      <c r="A57" s="15">
        <f>HYPERLINK("https://shoreaquatic.com/shop/wg-hpowanpot","Wanvisa Potted")</f>
        <v/>
      </c>
      <c r="B57" s="16" t="inlineStr"/>
      <c r="C57" s="17" t="inlineStr">
        <is>
          <t>Medium (4-6 ft)</t>
        </is>
      </c>
      <c r="D57" s="17" t="inlineStr">
        <is>
          <t>Ask / Seasonal</t>
        </is>
      </c>
    </row>
    <row r="58">
      <c r="A58" s="14" t="inlineStr">
        <is>
          <t xml:space="preserve">  Hardy Lily - Red  (18)</t>
        </is>
      </c>
    </row>
    <row r="59">
      <c r="A59" s="15">
        <f>HYPERLINK("https://shoreaquatic.com/shop/wg-hrass","Assorted Red")</f>
        <v/>
      </c>
      <c r="B59" s="16" t="inlineStr"/>
      <c r="C59" s="17" t="inlineStr"/>
      <c r="D59" s="17" t="inlineStr">
        <is>
          <t>Ask / Seasonal</t>
        </is>
      </c>
    </row>
    <row r="60">
      <c r="A60" s="15">
        <f>HYPERLINK("https://shoreaquatic.com/shop/wg-hratel","Attorney Elrod")</f>
        <v/>
      </c>
      <c r="B60" s="16" t="inlineStr"/>
      <c r="C60" s="17" t="inlineStr">
        <is>
          <t>Medium (4-6 ft)</t>
        </is>
      </c>
      <c r="D60" s="17" t="inlineStr">
        <is>
          <t>Ask / Seasonal</t>
        </is>
      </c>
    </row>
    <row r="61">
      <c r="A61" s="15">
        <f>HYPERLINK("https://shoreaquatic.com/shop/wg-hratt","Attraction")</f>
        <v/>
      </c>
      <c r="B61" s="16" t="inlineStr"/>
      <c r="C61" s="17" t="inlineStr">
        <is>
          <t>Medium (4-6 ft)</t>
        </is>
      </c>
      <c r="D61" s="17" t="inlineStr">
        <is>
          <t>Ask / Seasonal</t>
        </is>
      </c>
    </row>
    <row r="62">
      <c r="A62" s="15">
        <f>HYPERLINK("https://shoreaquatic.com/shop/wg-hrblpr","Black Princess")</f>
        <v/>
      </c>
      <c r="B62" s="16" t="inlineStr"/>
      <c r="C62" s="17" t="inlineStr">
        <is>
          <t>Medium (4-6 ft)</t>
        </is>
      </c>
      <c r="D62" s="17" t="inlineStr">
        <is>
          <t>Ask / Seasonal</t>
        </is>
      </c>
    </row>
    <row r="63">
      <c r="A63" s="15">
        <f>HYPERLINK("https://shoreaquatic.com/shop/wg-hrbupr","Burgundy Princess")</f>
        <v/>
      </c>
      <c r="B63" s="16" t="inlineStr"/>
      <c r="C63" s="17" t="inlineStr">
        <is>
          <t>Small (2-4 ft)</t>
        </is>
      </c>
      <c r="D63" s="17" t="inlineStr">
        <is>
          <t>Ask / Seasonal</t>
        </is>
      </c>
    </row>
    <row r="64">
      <c r="A64" s="15">
        <f>HYPERLINK("https://shoreaquatic.com/shop/wg-hresc","Escarboucle")</f>
        <v/>
      </c>
      <c r="B64" s="16" t="inlineStr"/>
      <c r="C64" s="17" t="inlineStr">
        <is>
          <t>Medium (4-6 ft)</t>
        </is>
      </c>
      <c r="D64" s="17" t="inlineStr">
        <is>
          <t>Ask / Seasonal</t>
        </is>
      </c>
    </row>
    <row r="65">
      <c r="A65" s="15">
        <f>HYPERLINK("https://shoreaquatic.com/shop/wg-hrglo","Gloriosa")</f>
        <v/>
      </c>
      <c r="B65" s="16" t="inlineStr"/>
      <c r="C65" s="17" t="inlineStr">
        <is>
          <t>Medium (4-6 ft)</t>
        </is>
      </c>
      <c r="D65" s="17" t="inlineStr">
        <is>
          <t>Ask / Seasonal</t>
        </is>
      </c>
    </row>
    <row r="66">
      <c r="A66" s="15">
        <f>HYPERLINK("https://shoreaquatic.com/shop/wg-hrgyp","Gypsy")</f>
        <v/>
      </c>
      <c r="B66" s="16" t="inlineStr"/>
      <c r="C66" s="17" t="inlineStr">
        <is>
          <t>Medium (4-6 ft)</t>
        </is>
      </c>
      <c r="D66" s="17" t="inlineStr">
        <is>
          <t>Ask / Seasonal</t>
        </is>
      </c>
    </row>
    <row r="67">
      <c r="A67" s="15">
        <f>HYPERLINK("https://shoreaquatic.com/shop/wg-hrjak","Jakkaphong")</f>
        <v/>
      </c>
      <c r="B67" s="16" t="inlineStr"/>
      <c r="C67" s="17" t="inlineStr">
        <is>
          <t>Medium (4-6 ft)</t>
        </is>
      </c>
      <c r="D67" s="17" t="inlineStr">
        <is>
          <t>Ask / Seasonal</t>
        </is>
      </c>
    </row>
    <row r="68">
      <c r="A68" s="15">
        <f>HYPERLINK("https://shoreaquatic.com/shop/wg-hrjabr","James Brydon")</f>
        <v/>
      </c>
      <c r="B68" s="16" t="inlineStr"/>
      <c r="C68" s="17" t="inlineStr">
        <is>
          <t>Medium (4-6 ft)</t>
        </is>
      </c>
      <c r="D68" s="17" t="inlineStr">
        <is>
          <t>Ask / Seasonal</t>
        </is>
      </c>
    </row>
    <row r="69">
      <c r="A69" s="15">
        <f>HYPERLINK("https://shoreaquatic.com/shop/wg-hrlafu","Laydekeri Fulgens")</f>
        <v/>
      </c>
      <c r="B69" s="16" t="inlineStr"/>
      <c r="C69" s="17" t="inlineStr">
        <is>
          <t>Medium (4-6 ft)</t>
        </is>
      </c>
      <c r="D69" s="17" t="inlineStr">
        <is>
          <t>Ask / Seasonal</t>
        </is>
      </c>
    </row>
    <row r="70">
      <c r="A70" s="15">
        <f>HYPERLINK("https://shoreaquatic.com/shop/wg-hrmah","Mahasombut")</f>
        <v/>
      </c>
      <c r="B70" s="16" t="inlineStr"/>
      <c r="C70" s="17" t="inlineStr">
        <is>
          <t>Medium (4-6 ft)</t>
        </is>
      </c>
      <c r="D70" s="17" t="inlineStr">
        <is>
          <t>Ask / Seasonal</t>
        </is>
      </c>
    </row>
    <row r="71">
      <c r="A71" s="15">
        <f>HYPERLINK("https://shoreaquatic.com/shop/wg-hrmare","Manee Red")</f>
        <v/>
      </c>
      <c r="B71" s="16" t="inlineStr"/>
      <c r="C71" s="17" t="inlineStr">
        <is>
          <t>Medium (4-6 ft)</t>
        </is>
      </c>
      <c r="D71" s="17" t="inlineStr">
        <is>
          <t>Ask / Seasonal</t>
        </is>
      </c>
    </row>
    <row r="72">
      <c r="A72" s="15">
        <f>HYPERLINK("https://shoreaquatic.com/shop/wg-hrpac","Packaged Red")</f>
        <v/>
      </c>
      <c r="B72" s="16" t="inlineStr"/>
      <c r="C72" s="17" t="inlineStr"/>
      <c r="D72" s="17" t="inlineStr">
        <is>
          <t>Ask / Seasonal</t>
        </is>
      </c>
    </row>
    <row r="73">
      <c r="A73" s="15">
        <f>HYPERLINK("https://shoreaquatic.com/shop/wg-hrpeba","Perry'S Baby Red")</f>
        <v/>
      </c>
      <c r="B73" s="16" t="inlineStr"/>
      <c r="C73" s="17" t="inlineStr">
        <is>
          <t>Small (2-4 ft)</t>
        </is>
      </c>
      <c r="D73" s="17" t="inlineStr">
        <is>
          <t>Ask / Seasonal</t>
        </is>
      </c>
    </row>
    <row r="74">
      <c r="A74" s="15">
        <f>HYPERLINK("https://shoreaquatic.com/shop/wg-hrresp","Red Spider")</f>
        <v/>
      </c>
      <c r="B74" s="16" t="inlineStr"/>
      <c r="C74" s="17" t="inlineStr">
        <is>
          <t>Medium (4-6 ft)</t>
        </is>
      </c>
      <c r="D74" s="17" t="inlineStr">
        <is>
          <t>Ask / Seasonal</t>
        </is>
      </c>
    </row>
    <row r="75">
      <c r="A75" s="15">
        <f>HYPERLINK("https://shoreaquatic.com/shop/wg-hrrem","Rembrandt")</f>
        <v/>
      </c>
      <c r="B75" s="16" t="inlineStr"/>
      <c r="C75" s="17" t="inlineStr">
        <is>
          <t>Medium (4-6 ft)</t>
        </is>
      </c>
      <c r="D75" s="17" t="inlineStr">
        <is>
          <t>Ask / Seasonal</t>
        </is>
      </c>
    </row>
    <row r="76">
      <c r="A76" s="15">
        <f>HYPERLINK("https://shoreaquatic.com/shop/wg-hrstst","Steven Strawn")</f>
        <v/>
      </c>
      <c r="B76" s="16" t="inlineStr"/>
      <c r="C76" s="17" t="inlineStr">
        <is>
          <t>Medium (4-6 ft)</t>
        </is>
      </c>
      <c r="D76" s="17" t="inlineStr">
        <is>
          <t>Ask / Seasonal</t>
        </is>
      </c>
    </row>
    <row r="77">
      <c r="A77" s="14" t="inlineStr">
        <is>
          <t xml:space="preserve">  Hardy Lily - White  (12)</t>
        </is>
      </c>
    </row>
    <row r="78">
      <c r="A78" s="15">
        <f>HYPERLINK("https://shoreaquatic.com/shop/wg-hwass","Assorted White")</f>
        <v/>
      </c>
      <c r="B78" s="16" t="inlineStr"/>
      <c r="C78" s="17" t="inlineStr"/>
      <c r="D78" s="17" t="inlineStr">
        <is>
          <t>Ask / Seasonal</t>
        </is>
      </c>
    </row>
    <row r="79">
      <c r="A79" s="15">
        <f>HYPERLINK("https://shoreaquatic.com/shop/wg-hwchu","Chubby")</f>
        <v/>
      </c>
      <c r="B79" s="16" t="inlineStr"/>
      <c r="C79" s="17" t="inlineStr">
        <is>
          <t>Medium (4-6 ft)</t>
        </is>
      </c>
      <c r="D79" s="17" t="inlineStr">
        <is>
          <t>Ask / Seasonal</t>
        </is>
      </c>
    </row>
    <row r="80">
      <c r="A80" s="15">
        <f>HYPERLINK("https://shoreaquatic.com/shop/wg-hwden","Denver")</f>
        <v/>
      </c>
      <c r="B80" s="16" t="inlineStr"/>
      <c r="C80" s="17" t="inlineStr">
        <is>
          <t>Medium (4-6 ft)</t>
        </is>
      </c>
      <c r="D80" s="17" t="inlineStr">
        <is>
          <t>Ask / Seasonal</t>
        </is>
      </c>
    </row>
    <row r="81">
      <c r="A81" s="15">
        <f>HYPERLINK("https://shoreaquatic.com/shop/wg-hwgon","Gonnere")</f>
        <v/>
      </c>
      <c r="B81" s="16" t="inlineStr"/>
      <c r="C81" s="17" t="inlineStr">
        <is>
          <t>Medium (4-6 ft)</t>
        </is>
      </c>
      <c r="D81" s="17" t="inlineStr">
        <is>
          <t>Ask / Seasonal</t>
        </is>
      </c>
    </row>
    <row r="82">
      <c r="A82" s="15">
        <f>HYPERLINK("https://shoreaquatic.com/shop/wg-hwher","Hermine")</f>
        <v/>
      </c>
      <c r="B82" s="16" t="inlineStr"/>
      <c r="C82" s="17" t="inlineStr">
        <is>
          <t>Medium (4-6 ft)</t>
        </is>
      </c>
      <c r="D82" s="17" t="inlineStr">
        <is>
          <t>Ask / Seasonal</t>
        </is>
      </c>
    </row>
    <row r="83">
      <c r="A83" s="15">
        <f>HYPERLINK("https://shoreaquatic.com/shop/wg-hwmaal","Marliacea Albida")</f>
        <v/>
      </c>
      <c r="B83" s="16" t="inlineStr"/>
      <c r="C83" s="17" t="inlineStr">
        <is>
          <t>Medium (4-6 ft)</t>
        </is>
      </c>
      <c r="D83" s="17" t="inlineStr">
        <is>
          <t>Ask / Seasonal</t>
        </is>
      </c>
    </row>
    <row r="84">
      <c r="A84" s="15">
        <f>HYPERLINK("https://shoreaquatic.com/shop/wg-hwmoda","Moon Dance")</f>
        <v/>
      </c>
      <c r="B84" s="16" t="inlineStr"/>
      <c r="C84" s="17" t="inlineStr">
        <is>
          <t>Large (6+ ft)</t>
        </is>
      </c>
      <c r="D84" s="17" t="inlineStr">
        <is>
          <t>Ask / Seasonal</t>
        </is>
      </c>
    </row>
    <row r="85">
      <c r="A85" s="15">
        <f>HYPERLINK("https://shoreaquatic.com/shop/wg-hwpac","Packaged White")</f>
        <v/>
      </c>
      <c r="B85" s="16" t="inlineStr"/>
      <c r="C85" s="17" t="inlineStr"/>
      <c r="D85" s="17" t="inlineStr">
        <is>
          <t>Ask / Seasonal</t>
        </is>
      </c>
    </row>
    <row r="86">
      <c r="A86" s="15">
        <f>HYPERLINK("https://shoreaquatic.com/shop/wg-hwpedo","Perry'S Double White")</f>
        <v/>
      </c>
      <c r="B86" s="16" t="inlineStr"/>
      <c r="C86" s="17" t="inlineStr">
        <is>
          <t>Medium (4-6 ft)</t>
        </is>
      </c>
      <c r="D86" s="17" t="inlineStr">
        <is>
          <t>Ask / Seasonal</t>
        </is>
      </c>
    </row>
    <row r="87">
      <c r="A87" s="15">
        <f>HYPERLINK("https://shoreaquatic.com/shop/wg-hwsta","Starbright")</f>
        <v/>
      </c>
      <c r="B87" s="16" t="inlineStr"/>
      <c r="C87" s="17" t="inlineStr">
        <is>
          <t>Medium (4-6 ft)</t>
        </is>
      </c>
      <c r="D87" s="17" t="inlineStr">
        <is>
          <t>Ask / Seasonal</t>
        </is>
      </c>
    </row>
    <row r="88">
      <c r="A88" s="15">
        <f>HYPERLINK("https://shoreaquatic.com/shop/wg-hwtet","Tetragona")</f>
        <v/>
      </c>
      <c r="B88" s="16" t="inlineStr"/>
      <c r="C88" s="17" t="inlineStr">
        <is>
          <t>Dwarf (1-2 ft)</t>
        </is>
      </c>
      <c r="D88" s="17" t="inlineStr">
        <is>
          <t>Ask / Seasonal</t>
        </is>
      </c>
    </row>
    <row r="89">
      <c r="A89" s="15">
        <f>HYPERLINK("https://shoreaquatic.com/shop/wg-hwvira","Virginia")</f>
        <v/>
      </c>
      <c r="B89" s="16" t="inlineStr"/>
      <c r="C89" s="17" t="inlineStr">
        <is>
          <t>Large (6+ ft)</t>
        </is>
      </c>
      <c r="D89" s="17" t="inlineStr">
        <is>
          <t>Ask / Seasonal</t>
        </is>
      </c>
    </row>
    <row r="90">
      <c r="A90" s="14" t="inlineStr">
        <is>
          <t xml:space="preserve">  Hardy Lily - Yellow  (13)</t>
        </is>
      </c>
    </row>
    <row r="91">
      <c r="A91" s="15">
        <f>HYPERLINK("https://shoreaquatic.com/shop/wg-hyass","Assorted Yellow")</f>
        <v/>
      </c>
      <c r="B91" s="16" t="inlineStr"/>
      <c r="C91" s="17" t="inlineStr"/>
      <c r="D91" s="17" t="inlineStr">
        <is>
          <t>Ask / Seasonal</t>
        </is>
      </c>
    </row>
    <row r="92">
      <c r="A92" s="15">
        <f>HYPERLINK("https://shoreaquatic.com/shop/wg-hybesa","Betsy Sakata")</f>
        <v/>
      </c>
      <c r="B92" s="16" t="inlineStr"/>
      <c r="C92" s="17" t="inlineStr">
        <is>
          <t>Medium (4-6 ft)</t>
        </is>
      </c>
      <c r="D92" s="17" t="inlineStr">
        <is>
          <t>Ask / Seasonal</t>
        </is>
      </c>
    </row>
    <row r="93">
      <c r="A93" s="15">
        <f>HYPERLINK("https://shoreaquatic.com/shop/wg-hychst","Charlene Strawn")</f>
        <v/>
      </c>
      <c r="B93" s="16" t="inlineStr"/>
      <c r="C93" s="17" t="inlineStr">
        <is>
          <t>Medium (4-6 ft)</t>
        </is>
      </c>
      <c r="D93" s="17" t="inlineStr">
        <is>
          <t>Ask / Seasonal</t>
        </is>
      </c>
    </row>
    <row r="94">
      <c r="A94" s="15">
        <f>HYPERLINK("https://shoreaquatic.com/shop/wg-hychr","Chromatella")</f>
        <v/>
      </c>
      <c r="B94" s="16" t="inlineStr"/>
      <c r="C94" s="17" t="inlineStr">
        <is>
          <t>Medium (4-6 ft)</t>
        </is>
      </c>
      <c r="D94" s="17" t="inlineStr">
        <is>
          <t>Ask / Seasonal</t>
        </is>
      </c>
    </row>
    <row r="95">
      <c r="A95" s="15">
        <f>HYPERLINK("https://shoreaquatic.com/shop/wg-hyjoto","Joey Tomocik")</f>
        <v/>
      </c>
      <c r="B95" s="16" t="inlineStr"/>
      <c r="C95" s="17" t="inlineStr">
        <is>
          <t>Medium (4-6 ft)</t>
        </is>
      </c>
      <c r="D95" s="17" t="inlineStr">
        <is>
          <t>Ask / Seasonal</t>
        </is>
      </c>
    </row>
    <row r="96">
      <c r="A96" s="15">
        <f>HYPERLINK("https://shoreaquatic.com/shop/wg-hypac","Packaged Yellow")</f>
        <v/>
      </c>
      <c r="B96" s="16" t="inlineStr"/>
      <c r="C96" s="17" t="inlineStr"/>
      <c r="D96" s="17" t="inlineStr">
        <is>
          <t>Ask / Seasonal</t>
        </is>
      </c>
    </row>
    <row r="97">
      <c r="A97" s="15">
        <f>HYPERLINK("https://shoreaquatic.com/shop/wg-hypar","Paranee")</f>
        <v/>
      </c>
      <c r="B97" s="16" t="inlineStr"/>
      <c r="C97" s="17" t="inlineStr">
        <is>
          <t>Medium (4-6 ft)</t>
        </is>
      </c>
      <c r="D97" s="17" t="inlineStr">
        <is>
          <t>Ask / Seasonal</t>
        </is>
      </c>
    </row>
    <row r="98">
      <c r="A98" s="15">
        <f>HYPERLINK("https://shoreaquatic.com/shop/wg-hypiwa","Pin Waree")</f>
        <v/>
      </c>
      <c r="B98" s="16" t="inlineStr"/>
      <c r="C98" s="17" t="inlineStr">
        <is>
          <t>Medium (4-6 ft)</t>
        </is>
      </c>
      <c r="D98" s="17" t="inlineStr">
        <is>
          <t>Ask / Seasonal</t>
        </is>
      </c>
    </row>
    <row r="99">
      <c r="A99" s="15">
        <f>HYPERLINK("https://shoreaquatic.com/shop/wg-hyput","Puttaraska")</f>
        <v/>
      </c>
      <c r="B99" s="16" t="inlineStr"/>
      <c r="C99" s="17" t="inlineStr">
        <is>
          <t>Medium (4-6 ft)</t>
        </is>
      </c>
      <c r="D99" s="17" t="inlineStr">
        <is>
          <t>Ask / Seasonal</t>
        </is>
      </c>
    </row>
    <row r="100">
      <c r="A100" s="15">
        <f>HYPERLINK("https://shoreaquatic.com/shop/wg-hysul","Sulphurea")</f>
        <v/>
      </c>
      <c r="B100" s="16" t="inlineStr"/>
      <c r="C100" s="17" t="inlineStr">
        <is>
          <t>Medium (4-6 ft)</t>
        </is>
      </c>
      <c r="D100" s="17" t="inlineStr">
        <is>
          <t>Ask / Seasonal</t>
        </is>
      </c>
    </row>
    <row r="101">
      <c r="A101" s="15">
        <f>HYPERLINK("https://shoreaquatic.com/shop/wg-hysuok","Sulphurea Okeechobee")</f>
        <v/>
      </c>
      <c r="B101" s="16" t="inlineStr"/>
      <c r="C101" s="17" t="inlineStr">
        <is>
          <t>Medium (4-6 ft)</t>
        </is>
      </c>
      <c r="D101" s="17" t="inlineStr">
        <is>
          <t>Ask / Seasonal</t>
        </is>
      </c>
    </row>
    <row r="102">
      <c r="A102" s="15">
        <f>HYPERLINK("https://shoreaquatic.com/shop/wg-hysun","Sunrise")</f>
        <v/>
      </c>
      <c r="B102" s="16" t="inlineStr"/>
      <c r="C102" s="17" t="inlineStr">
        <is>
          <t>Large (6+ ft)</t>
        </is>
      </c>
      <c r="D102" s="17" t="inlineStr">
        <is>
          <t>Ask / Seasonal</t>
        </is>
      </c>
    </row>
    <row r="103">
      <c r="A103" s="15">
        <f>HYPERLINK("https://shoreaquatic.com/shop/wg-hyteda","Texas Dawn")</f>
        <v/>
      </c>
      <c r="B103" s="16" t="inlineStr"/>
      <c r="C103" s="17" t="inlineStr">
        <is>
          <t>Medium (4-6 ft)</t>
        </is>
      </c>
      <c r="D103" s="17" t="inlineStr">
        <is>
          <t>Ask / Seasonal</t>
        </is>
      </c>
    </row>
    <row r="104">
      <c r="A104" s="14" t="inlineStr">
        <is>
          <t xml:space="preserve">  Hardy Lily Potted - Changeable  (1)</t>
        </is>
      </c>
    </row>
    <row r="105">
      <c r="A105" s="15">
        <f>HYPERLINK("https://shoreaquatic.com/shop/wg-hcsiopot","Sioux Potted")</f>
        <v/>
      </c>
      <c r="B105" s="16" t="inlineStr"/>
      <c r="C105" s="17" t="inlineStr">
        <is>
          <t>Potted</t>
        </is>
      </c>
      <c r="D105" s="17" t="inlineStr">
        <is>
          <t>Ask / Seasonal</t>
        </is>
      </c>
    </row>
    <row r="106">
      <c r="A106" s="14" t="inlineStr">
        <is>
          <t xml:space="preserve">  Lotus - Pink  (3)</t>
        </is>
      </c>
    </row>
    <row r="107">
      <c r="A107" s="15">
        <f>HYPERLINK("https://shoreaquatic.com/shop/wg-lbipe","Birthday Peach")</f>
        <v/>
      </c>
      <c r="B107" s="16" t="inlineStr"/>
      <c r="C107" s="17" t="inlineStr"/>
      <c r="D107" s="17" t="inlineStr">
        <is>
          <t>Ask / Seasonal</t>
        </is>
      </c>
    </row>
    <row r="108">
      <c r="A108" s="15">
        <f>HYPERLINK("https://shoreaquatic.com/shop/wg-lpipa","Pink Parfait")</f>
        <v/>
      </c>
      <c r="B108" s="16" t="inlineStr"/>
      <c r="C108" s="17" t="inlineStr"/>
      <c r="D108" s="17" t="inlineStr">
        <is>
          <t>Ask / Seasonal</t>
        </is>
      </c>
    </row>
    <row r="109">
      <c r="A109" s="15">
        <f>HYPERLINK("https://shoreaquatic.com/shop/wg-lpink","Pink-A-Licious")</f>
        <v/>
      </c>
      <c r="B109" s="16" t="inlineStr"/>
      <c r="C109" s="17" t="inlineStr"/>
      <c r="D109" s="17" t="inlineStr">
        <is>
          <t>Ask / Seasonal</t>
        </is>
      </c>
    </row>
    <row r="110">
      <c r="A110" s="14" t="inlineStr">
        <is>
          <t xml:space="preserve">  Lotus - Potted  (1)</t>
        </is>
      </c>
    </row>
    <row r="111">
      <c r="A111" s="15">
        <f>HYPERLINK("https://shoreaquatic.com/shop/wg-lbarepot","Bali Red Potted")</f>
        <v/>
      </c>
      <c r="B111" s="16" t="inlineStr"/>
      <c r="C111" s="17" t="inlineStr"/>
      <c r="D111" s="17" t="inlineStr">
        <is>
          <t>Ask / Seasonal</t>
        </is>
      </c>
    </row>
    <row r="112">
      <c r="A112" s="14" t="inlineStr">
        <is>
          <t xml:space="preserve">  Lotus - Red  (5)</t>
        </is>
      </c>
    </row>
    <row r="113">
      <c r="A113" s="15">
        <f>HYPERLINK("https://shoreaquatic.com/shop/wg-lflcl","Flame Clouds")</f>
        <v/>
      </c>
      <c r="B113" s="16" t="inlineStr"/>
      <c r="C113" s="17" t="inlineStr"/>
      <c r="D113" s="17" t="inlineStr">
        <is>
          <t>Ask / Seasonal</t>
        </is>
      </c>
    </row>
    <row r="114">
      <c r="A114" s="15">
        <f>HYPERLINK("https://shoreaquatic.com/shop/wg-lmobo","Momo Botan")</f>
        <v/>
      </c>
      <c r="B114" s="16" t="inlineStr"/>
      <c r="C114" s="17" t="inlineStr"/>
      <c r="D114" s="17" t="inlineStr">
        <is>
          <t>Ask / Seasonal</t>
        </is>
      </c>
    </row>
    <row r="115">
      <c r="A115" s="15">
        <f>HYPERLINK("https://shoreaquatic.com/shop/wg-lperu","Pekinensis Rubra")</f>
        <v/>
      </c>
      <c r="B115" s="16" t="inlineStr"/>
      <c r="C115" s="17" t="inlineStr"/>
      <c r="D115" s="17" t="inlineStr">
        <is>
          <t>Ask / Seasonal</t>
        </is>
      </c>
    </row>
    <row r="116">
      <c r="A116" s="15">
        <f>HYPERLINK("https://shoreaquatic.com/shop/wg-ltelo","Tender Love")</f>
        <v/>
      </c>
      <c r="B116" s="16" t="inlineStr"/>
      <c r="C116" s="17" t="inlineStr"/>
      <c r="D116" s="17" t="inlineStr">
        <is>
          <t>Ask / Seasonal</t>
        </is>
      </c>
    </row>
    <row r="117">
      <c r="A117" s="15">
        <f>HYPERLINK("https://shoreaquatic.com/shop/wg-lthpr","The President")</f>
        <v/>
      </c>
      <c r="B117" s="16" t="inlineStr"/>
      <c r="C117" s="17" t="inlineStr"/>
      <c r="D117" s="17" t="inlineStr">
        <is>
          <t>Ask / Seasonal</t>
        </is>
      </c>
    </row>
    <row r="118">
      <c r="A118" s="14" t="inlineStr">
        <is>
          <t xml:space="preserve">  Lotus - Versicolor  (3)</t>
        </is>
      </c>
    </row>
    <row r="119">
      <c r="A119" s="15">
        <f>HYPERLINK("https://shoreaquatic.com/shop/wg-lbeda","Beautiful Dancer")</f>
        <v/>
      </c>
      <c r="B119" s="16" t="inlineStr"/>
      <c r="C119" s="17" t="inlineStr"/>
      <c r="D119" s="17" t="inlineStr">
        <is>
          <t>Ask / Seasonal</t>
        </is>
      </c>
    </row>
    <row r="120">
      <c r="A120" s="15">
        <f>HYPERLINK("https://shoreaquatic.com/shop/wg-lchba","Chawan Basu")</f>
        <v/>
      </c>
      <c r="B120" s="16" t="inlineStr"/>
      <c r="C120" s="17" t="inlineStr"/>
      <c r="D120" s="17" t="inlineStr">
        <is>
          <t>Ask / Seasonal</t>
        </is>
      </c>
    </row>
    <row r="121">
      <c r="A121" s="15">
        <f>HYPERLINK("https://shoreaquatic.com/shop/wg-lmrpe","Mrs. Perry D. Slocum")</f>
        <v/>
      </c>
      <c r="B121" s="16" t="inlineStr"/>
      <c r="C121" s="17" t="inlineStr"/>
      <c r="D121" s="17" t="inlineStr">
        <is>
          <t>Ask / Seasonal</t>
        </is>
      </c>
    </row>
    <row r="122">
      <c r="A122" s="14" t="inlineStr">
        <is>
          <t xml:space="preserve">  Lotus - White  (3)</t>
        </is>
      </c>
    </row>
    <row r="123">
      <c r="A123" s="15">
        <f>HYPERLINK("https://shoreaquatic.com/shop/wg-ldela","Decorated Lantern")</f>
        <v/>
      </c>
      <c r="B123" s="16" t="inlineStr"/>
      <c r="C123" s="17" t="inlineStr"/>
      <c r="D123" s="17" t="inlineStr">
        <is>
          <t>Ask / Seasonal</t>
        </is>
      </c>
    </row>
    <row r="124">
      <c r="A124" s="15">
        <f>HYPERLINK("https://shoreaquatic.com/shop/wg-lligr","Little Green House")</f>
        <v/>
      </c>
      <c r="B124" s="16" t="inlineStr"/>
      <c r="C124" s="17" t="inlineStr"/>
      <c r="D124" s="17" t="inlineStr">
        <is>
          <t>Ask / Seasonal</t>
        </is>
      </c>
    </row>
    <row r="125">
      <c r="A125" s="15">
        <f>HYPERLINK("https://shoreaquatic.com/shop/wg-lstgr","Star Of Green")</f>
        <v/>
      </c>
      <c r="B125" s="16" t="inlineStr"/>
      <c r="C125" s="17" t="inlineStr"/>
      <c r="D125" s="17" t="inlineStr">
        <is>
          <t>Ask / Seasonal</t>
        </is>
      </c>
    </row>
    <row r="126">
      <c r="A126" s="14" t="inlineStr">
        <is>
          <t xml:space="preserve">  Lotus - Yellow  (3)</t>
        </is>
      </c>
    </row>
    <row r="127">
      <c r="A127" s="15">
        <f>HYPERLINK("https://shoreaquatic.com/shop/wg-llior","Little Oriole")</f>
        <v/>
      </c>
      <c r="B127" s="16" t="inlineStr"/>
      <c r="C127" s="17" t="inlineStr"/>
      <c r="D127" s="17" t="inlineStr">
        <is>
          <t>Ask / Seasonal</t>
        </is>
      </c>
    </row>
    <row r="128">
      <c r="A128" s="15">
        <f>HYPERLINK("https://shoreaquatic.com/shop/wg-lpegi","Perry'S Giant Sunburst")</f>
        <v/>
      </c>
      <c r="B128" s="16" t="inlineStr"/>
      <c r="C128" s="17" t="inlineStr"/>
      <c r="D128" s="17" t="inlineStr">
        <is>
          <t>Ask / Seasonal</t>
        </is>
      </c>
    </row>
    <row r="129">
      <c r="A129" s="15">
        <f>HYPERLINK("https://shoreaquatic.com/shop/wg-lyebi","Yellow Bird")</f>
        <v/>
      </c>
      <c r="B129" s="16" t="inlineStr"/>
      <c r="C129" s="17" t="inlineStr"/>
      <c r="D129" s="17" t="inlineStr">
        <is>
          <t>Ask / Seasonal</t>
        </is>
      </c>
    </row>
    <row r="130">
      <c r="A130" s="14" t="inlineStr">
        <is>
          <t xml:space="preserve">  Lotus Tuber  (7)</t>
        </is>
      </c>
    </row>
    <row r="131">
      <c r="A131" s="15">
        <f>HYPERLINK("https://shoreaquatic.com/shop/wg-lbopr","Bold Protector")</f>
        <v/>
      </c>
      <c r="B131" s="16" t="inlineStr"/>
      <c r="C131" s="17" t="inlineStr">
        <is>
          <t>Tuber</t>
        </is>
      </c>
      <c r="D131" s="17" t="inlineStr">
        <is>
          <t>Ask / Seasonal</t>
        </is>
      </c>
    </row>
    <row r="132">
      <c r="A132" s="15">
        <f>HYPERLINK("https://shoreaquatic.com/shop/wg-lflam","Flamingo")</f>
        <v/>
      </c>
      <c r="B132" s="16" t="inlineStr"/>
      <c r="C132" s="17" t="inlineStr">
        <is>
          <t>Tuber</t>
        </is>
      </c>
      <c r="D132" s="17" t="inlineStr">
        <is>
          <t>Ask / Seasonal</t>
        </is>
      </c>
    </row>
    <row r="133">
      <c r="A133" s="15">
        <f>HYPERLINK("https://shoreaquatic.com/shop/wg-lgore","Gold &amp; Resplendence")</f>
        <v/>
      </c>
      <c r="B133" s="16" t="inlineStr"/>
      <c r="C133" s="17" t="inlineStr">
        <is>
          <t>Tuber</t>
        </is>
      </c>
      <c r="D133" s="17" t="inlineStr">
        <is>
          <t>Ask / Seasonal</t>
        </is>
      </c>
    </row>
    <row r="134">
      <c r="A134" s="15">
        <f>HYPERLINK("https://shoreaquatic.com/shop/wg-lgrcl","Green Clouds")</f>
        <v/>
      </c>
      <c r="B134" s="16" t="inlineStr"/>
      <c r="C134" s="17" t="inlineStr">
        <is>
          <t>Tuber</t>
        </is>
      </c>
      <c r="D134" s="17" t="inlineStr">
        <is>
          <t>Ask / Seasonal</t>
        </is>
      </c>
    </row>
    <row r="135">
      <c r="A135" s="15">
        <f>HYPERLINK("https://shoreaquatic.com/shop/wg-lpipe","Pink Peach")</f>
        <v/>
      </c>
      <c r="B135" s="16" t="inlineStr"/>
      <c r="C135" s="17" t="inlineStr">
        <is>
          <t>Tuber</t>
        </is>
      </c>
      <c r="D135" s="17" t="inlineStr">
        <is>
          <t>Ask / Seasonal</t>
        </is>
      </c>
    </row>
    <row r="136">
      <c r="A136" s="15">
        <f>HYPERLINK("https://shoreaquatic.com/shop/wg-lscla","Scarlet Lady")</f>
        <v/>
      </c>
      <c r="B136" s="16" t="inlineStr"/>
      <c r="C136" s="17" t="inlineStr">
        <is>
          <t>Tuber</t>
        </is>
      </c>
      <c r="D136" s="17" t="inlineStr">
        <is>
          <t>Ask / Seasonal</t>
        </is>
      </c>
    </row>
    <row r="137">
      <c r="A137" s="15">
        <f>HYPERLINK("https://shoreaquatic.com/shop/wg-lshfi","Shoot Fire")</f>
        <v/>
      </c>
      <c r="B137" s="16" t="inlineStr"/>
      <c r="C137" s="17" t="inlineStr">
        <is>
          <t>Tuber</t>
        </is>
      </c>
      <c r="D137" s="17" t="inlineStr">
        <is>
          <t>Ask / Seasonal</t>
        </is>
      </c>
    </row>
    <row r="138">
      <c r="A138" s="14" t="inlineStr">
        <is>
          <t xml:space="preserve">  Marginal Hardy - 2\  (62)</t>
        </is>
      </c>
    </row>
    <row r="139">
      <c r="A139" s="15">
        <f>HYPERLINK("https://shoreaquatic.com/shop/wg-mharar","Arrow Arum")</f>
        <v/>
      </c>
      <c r="B139" s="16" t="inlineStr">
        <is>
          <t>Peltranda virginica</t>
        </is>
      </c>
      <c r="C139" s="17" t="inlineStr">
        <is>
          <t>2\</t>
        </is>
      </c>
      <c r="D139" s="17" t="inlineStr">
        <is>
          <t>Ask / Seasonal</t>
        </is>
      </c>
    </row>
    <row r="140">
      <c r="A140" s="15">
        <f>HYPERLINK("https://shoreaquatic.com/shop/wg-mhbldo","Bloody Dock")</f>
        <v/>
      </c>
      <c r="B140" s="16" t="inlineStr">
        <is>
          <t>Rumex sanguineus</t>
        </is>
      </c>
      <c r="C140" s="17" t="inlineStr">
        <is>
          <t>2\</t>
        </is>
      </c>
      <c r="D140" s="17" t="inlineStr">
        <is>
          <t>Ask / Seasonal</t>
        </is>
      </c>
    </row>
    <row r="141">
      <c r="A141" s="15">
        <f>HYPERLINK("https://shoreaquatic.com/shop/wg-mhbugi","Bulrush, Giant")</f>
        <v/>
      </c>
      <c r="B141" s="16" t="inlineStr">
        <is>
          <t>Schoenoplectus californicus</t>
        </is>
      </c>
      <c r="C141" s="17" t="inlineStr">
        <is>
          <t>2\</t>
        </is>
      </c>
      <c r="D141" s="17" t="inlineStr">
        <is>
          <t>Ask / Seasonal</t>
        </is>
      </c>
    </row>
    <row r="142">
      <c r="A142" s="15">
        <f>HYPERLINK("https://shoreaquatic.com/shop/wg-mhcafl","Cardinal Flower")</f>
        <v/>
      </c>
      <c r="B142" s="16" t="inlineStr">
        <is>
          <t>Lobelia cardinalis</t>
        </is>
      </c>
      <c r="C142" s="17" t="inlineStr">
        <is>
          <t>2\</t>
        </is>
      </c>
      <c r="D142" s="17" t="inlineStr">
        <is>
          <t>Ask / Seasonal</t>
        </is>
      </c>
    </row>
    <row r="143">
      <c r="A143" s="15">
        <f>HYPERLINK("https://shoreaquatic.com/shop/wg-mhcapi","Cardinal Flower, Pink")</f>
        <v/>
      </c>
      <c r="B143" s="16" t="inlineStr">
        <is>
          <t>Lobelia cardinalis</t>
        </is>
      </c>
      <c r="C143" s="17" t="inlineStr">
        <is>
          <t>2\</t>
        </is>
      </c>
      <c r="D143" s="17" t="inlineStr">
        <is>
          <t>Ask / Seasonal</t>
        </is>
      </c>
    </row>
    <row r="144">
      <c r="A144" s="15">
        <f>HYPERLINK("https://shoreaquatic.com/shop/wg-mhcaflr","Cardinal Flower, Rose")</f>
        <v/>
      </c>
      <c r="B144" s="16" t="inlineStr">
        <is>
          <t>Lobelia cardinalis</t>
        </is>
      </c>
      <c r="C144" s="17" t="inlineStr">
        <is>
          <t>2\</t>
        </is>
      </c>
      <c r="D144" s="17" t="inlineStr">
        <is>
          <t>Ask / Seasonal</t>
        </is>
      </c>
    </row>
    <row r="145">
      <c r="A145" s="15">
        <f>HYPERLINK("https://shoreaquatic.com/shop/wg-mhcat","Cattail")</f>
        <v/>
      </c>
      <c r="B145" s="16" t="inlineStr">
        <is>
          <t>Typha latifolia</t>
        </is>
      </c>
      <c r="C145" s="17" t="inlineStr">
        <is>
          <t>2\</t>
        </is>
      </c>
      <c r="D145" s="17" t="inlineStr">
        <is>
          <t>Ask / Seasonal</t>
        </is>
      </c>
    </row>
    <row r="146">
      <c r="A146" s="15">
        <f>HYPERLINK("https://shoreaquatic.com/shop/wg-mhcadw","Cattail, Dwarf")</f>
        <v/>
      </c>
      <c r="B146" s="16" t="inlineStr">
        <is>
          <t>Typha minima</t>
        </is>
      </c>
      <c r="C146" s="17" t="inlineStr">
        <is>
          <t>2\</t>
        </is>
      </c>
      <c r="D146" s="17" t="inlineStr">
        <is>
          <t>Ask / Seasonal</t>
        </is>
      </c>
    </row>
    <row r="147">
      <c r="A147" s="15">
        <f>HYPERLINK("https://shoreaquatic.com/shop/wg-mhcagr","Cattail, Graceful")</f>
        <v/>
      </c>
      <c r="B147" s="16" t="inlineStr">
        <is>
          <t>Typha laxmannii</t>
        </is>
      </c>
      <c r="C147" s="17" t="inlineStr">
        <is>
          <t>2\</t>
        </is>
      </c>
      <c r="D147" s="17" t="inlineStr">
        <is>
          <t>Ask / Seasonal</t>
        </is>
      </c>
    </row>
    <row r="148">
      <c r="A148" s="15">
        <f>HYPERLINK("https://shoreaquatic.com/shop/wg-mhcana","Cattail, Narrow Leaf")</f>
        <v/>
      </c>
      <c r="B148" s="16" t="inlineStr">
        <is>
          <t>Typha angustifolia</t>
        </is>
      </c>
      <c r="C148" s="17" t="inlineStr">
        <is>
          <t>2\</t>
        </is>
      </c>
      <c r="D148" s="17" t="inlineStr">
        <is>
          <t>Ask / Seasonal</t>
        </is>
      </c>
    </row>
    <row r="149">
      <c r="A149" s="15">
        <f>HYPERLINK("https://shoreaquatic.com/shop/wg-mhcava","Cattail, Variegated")</f>
        <v/>
      </c>
      <c r="B149" s="16" t="inlineStr">
        <is>
          <t>Typha latifolia variegata</t>
        </is>
      </c>
      <c r="C149" s="17" t="inlineStr">
        <is>
          <t>2\</t>
        </is>
      </c>
      <c r="D149" s="17" t="inlineStr">
        <is>
          <t>Ask / Seasonal</t>
        </is>
      </c>
    </row>
    <row r="150">
      <c r="A150" s="15">
        <f>HYPERLINK("https://shoreaquatic.com/shop/wg-mhclfo","Clover, Four Leaf")</f>
        <v/>
      </c>
      <c r="B150" s="16" t="inlineStr">
        <is>
          <t>Marsilea quadrifolia</t>
        </is>
      </c>
      <c r="C150" s="17" t="inlineStr">
        <is>
          <t>2\</t>
        </is>
      </c>
      <c r="D150" s="17" t="inlineStr">
        <is>
          <t>Ask / Seasonal</t>
        </is>
      </c>
    </row>
    <row r="151">
      <c r="A151" s="15">
        <f>HYPERLINK("https://shoreaquatic.com/shop/wg-mhclva","Clover, Variegated")</f>
        <v/>
      </c>
      <c r="B151" s="16" t="inlineStr">
        <is>
          <t>Marsilea mutica</t>
        </is>
      </c>
      <c r="C151" s="17" t="inlineStr">
        <is>
          <t>2\</t>
        </is>
      </c>
      <c r="D151" s="17" t="inlineStr">
        <is>
          <t>Ask / Seasonal</t>
        </is>
      </c>
    </row>
    <row r="152">
      <c r="A152" s="15">
        <f>HYPERLINK("https://shoreaquatic.com/shop/wg-mhgocl","Golden Club")</f>
        <v/>
      </c>
      <c r="B152" s="16" t="inlineStr">
        <is>
          <t>Orontium aquaticum</t>
        </is>
      </c>
      <c r="C152" s="17" t="inlineStr">
        <is>
          <t>2\</t>
        </is>
      </c>
      <c r="D152" s="17" t="inlineStr">
        <is>
          <t>Ask / Seasonal</t>
        </is>
      </c>
    </row>
    <row r="153">
      <c r="A153" s="15">
        <f>HYPERLINK("https://shoreaquatic.com/shop/wg-mhhoch","Houttuynia Chameleon")</f>
        <v/>
      </c>
      <c r="B153" s="16" t="inlineStr">
        <is>
          <t>Houttuynia cordata 'Chameleon'</t>
        </is>
      </c>
      <c r="C153" s="17" t="inlineStr">
        <is>
          <t>2\</t>
        </is>
      </c>
      <c r="D153" s="17" t="inlineStr">
        <is>
          <t>Ask / Seasonal</t>
        </is>
      </c>
    </row>
    <row r="154">
      <c r="A154" s="15">
        <f>HYPERLINK("https://shoreaquatic.com/shop/wg-mhianch","Iris, Ann Chowning")</f>
        <v/>
      </c>
      <c r="B154" s="16" t="inlineStr">
        <is>
          <t>Iris louisiana 'Ann Chowning'</t>
        </is>
      </c>
      <c r="C154" s="17" t="inlineStr">
        <is>
          <t>2\</t>
        </is>
      </c>
      <c r="D154" s="17" t="inlineStr">
        <is>
          <t>Ask / Seasonal</t>
        </is>
      </c>
    </row>
    <row r="155">
      <c r="A155" s="15">
        <f>HYPERLINK("https://shoreaquatic.com/shop/wg-mhiblga","Iris, Black Gamecock")</f>
        <v/>
      </c>
      <c r="B155" s="16" t="inlineStr">
        <is>
          <t>Iris louisiana 'Black Gamecock'</t>
        </is>
      </c>
      <c r="C155" s="17" t="inlineStr">
        <is>
          <t>2\</t>
        </is>
      </c>
      <c r="D155" s="17" t="inlineStr">
        <is>
          <t>Ask / Seasonal</t>
        </is>
      </c>
    </row>
    <row r="156">
      <c r="A156" s="15">
        <f>HYPERLINK("https://shoreaquatic.com/shop/wg-mhirbl","Iris, Blue")</f>
        <v/>
      </c>
      <c r="B156" s="16" t="inlineStr">
        <is>
          <t>Iris versicolor</t>
        </is>
      </c>
      <c r="C156" s="17" t="inlineStr">
        <is>
          <t>2\</t>
        </is>
      </c>
      <c r="D156" s="17" t="inlineStr">
        <is>
          <t>Ask / Seasonal</t>
        </is>
      </c>
    </row>
    <row r="157">
      <c r="A157" s="15">
        <f>HYPERLINK("https://shoreaquatic.com/shop/wg-mhicol","Iris, Colorific")</f>
        <v/>
      </c>
      <c r="B157" s="16" t="inlineStr">
        <is>
          <t>Iris louisiana 'Colorific'</t>
        </is>
      </c>
      <c r="C157" s="17" t="inlineStr">
        <is>
          <t>2\</t>
        </is>
      </c>
      <c r="D157" s="17" t="inlineStr">
        <is>
          <t>Ask / Seasonal</t>
        </is>
      </c>
    </row>
    <row r="158">
      <c r="A158" s="15">
        <f>HYPERLINK("https://shoreaquatic.com/shop/wg-mhidide","Iris, Dixie Deb")</f>
        <v/>
      </c>
      <c r="B158" s="16" t="inlineStr">
        <is>
          <t>Iris louisiana 'Dixie Deb'</t>
        </is>
      </c>
      <c r="C158" s="17" t="inlineStr">
        <is>
          <t>2\</t>
        </is>
      </c>
      <c r="D158" s="17" t="inlineStr">
        <is>
          <t>Ask / Seasonal</t>
        </is>
      </c>
    </row>
    <row r="159">
      <c r="A159" s="15">
        <f>HYPERLINK("https://shoreaquatic.com/shop/wg-mhifuec","Iris, Full Eclipse")</f>
        <v/>
      </c>
      <c r="B159" s="16" t="inlineStr">
        <is>
          <t>Iris louisiana 'Full Eclipse'</t>
        </is>
      </c>
      <c r="C159" s="17" t="inlineStr">
        <is>
          <t>2\</t>
        </is>
      </c>
      <c r="D159" s="17" t="inlineStr">
        <is>
          <t>Ask / Seasonal</t>
        </is>
      </c>
    </row>
    <row r="160">
      <c r="A160" s="15">
        <f>HYPERLINK("https://shoreaquatic.com/shop/wg-mhirja","Iris, Japanese")</f>
        <v/>
      </c>
      <c r="B160" s="16" t="inlineStr">
        <is>
          <t>Iris laevigata (kaempferi)</t>
        </is>
      </c>
      <c r="C160" s="17" t="inlineStr">
        <is>
          <t>2\</t>
        </is>
      </c>
      <c r="D160" s="17" t="inlineStr">
        <is>
          <t>Ask / Seasonal</t>
        </is>
      </c>
    </row>
    <row r="161">
      <c r="A161" s="15">
        <f>HYPERLINK("https://shoreaquatic.com/shop/wg-mhirjav","Iris, Japanese Variegated")</f>
        <v/>
      </c>
      <c r="B161" s="16" t="inlineStr">
        <is>
          <t>Iris kaempferi 'Variegata'</t>
        </is>
      </c>
      <c r="C161" s="17" t="inlineStr">
        <is>
          <t>2\</t>
        </is>
      </c>
      <c r="D161" s="17" t="inlineStr">
        <is>
          <t>Ask / Seasonal</t>
        </is>
      </c>
    </row>
    <row r="162">
      <c r="A162" s="15">
        <f>HYPERLINK("https://shoreaquatic.com/shop/wg-mhikicr","Iris, King Creole")</f>
        <v/>
      </c>
      <c r="B162" s="16" t="inlineStr">
        <is>
          <t>Iris louisiana 'King Creole'</t>
        </is>
      </c>
      <c r="C162" s="17" t="inlineStr">
        <is>
          <t>2\</t>
        </is>
      </c>
      <c r="D162" s="17" t="inlineStr">
        <is>
          <t>Ask / Seasonal</t>
        </is>
      </c>
    </row>
    <row r="163">
      <c r="A163" s="15">
        <f>HYPERLINK("https://shoreaquatic.com/shop/wg-mhiprcl","Iris, Professor Claude")</f>
        <v/>
      </c>
      <c r="B163" s="16" t="inlineStr">
        <is>
          <t>Iris louisiana 'Professor Claude'</t>
        </is>
      </c>
      <c r="C163" s="17" t="inlineStr">
        <is>
          <t>2\</t>
        </is>
      </c>
      <c r="D163" s="17" t="inlineStr">
        <is>
          <t>Ask / Seasonal</t>
        </is>
      </c>
    </row>
    <row r="164">
      <c r="A164" s="15">
        <f>HYPERLINK("https://shoreaquatic.com/shop/wg-mhirre","Iris, Red")</f>
        <v/>
      </c>
      <c r="B164" s="16" t="inlineStr">
        <is>
          <t>Iris fulva</t>
        </is>
      </c>
      <c r="C164" s="17" t="inlineStr">
        <is>
          <t>2\</t>
        </is>
      </c>
      <c r="D164" s="17" t="inlineStr">
        <is>
          <t>Ask / Seasonal</t>
        </is>
      </c>
    </row>
    <row r="165">
      <c r="A165" s="15">
        <f>HYPERLINK("https://shoreaquatic.com/shop/wg-mhireve","Iris, Red Velvet Elvis")</f>
        <v/>
      </c>
      <c r="B165" s="16" t="inlineStr">
        <is>
          <t>Iris louisiana 'Red Velvet Elvis'</t>
        </is>
      </c>
      <c r="C165" s="17" t="inlineStr">
        <is>
          <t>2\</t>
        </is>
      </c>
      <c r="D165" s="17" t="inlineStr">
        <is>
          <t>Ask / Seasonal</t>
        </is>
      </c>
    </row>
    <row r="166">
      <c r="A166" s="15">
        <f>HYPERLINK("https://shoreaquatic.com/shop/wg-mhisewi","Iris, Sea Wisp")</f>
        <v/>
      </c>
      <c r="B166" s="16" t="inlineStr"/>
      <c r="C166" s="17" t="inlineStr">
        <is>
          <t>2\</t>
        </is>
      </c>
      <c r="D166" s="17" t="inlineStr">
        <is>
          <t>Ask / Seasonal</t>
        </is>
      </c>
    </row>
    <row r="167">
      <c r="A167" s="15">
        <f>HYPERLINK("https://shoreaquatic.com/shop/wg-mhiwofa","Iris, Wow Factor")</f>
        <v/>
      </c>
      <c r="B167" s="16" t="inlineStr">
        <is>
          <t>Iris louisiana 'Wow Factor'</t>
        </is>
      </c>
      <c r="C167" s="17" t="inlineStr">
        <is>
          <t>2\</t>
        </is>
      </c>
      <c r="D167" s="17" t="inlineStr">
        <is>
          <t>Ask / Seasonal</t>
        </is>
      </c>
    </row>
    <row r="168">
      <c r="A168" s="15">
        <f>HYPERLINK("https://shoreaquatic.com/shop/wg-mhirye","Iris, Yellow")</f>
        <v/>
      </c>
      <c r="B168" s="16" t="inlineStr">
        <is>
          <t>Iris pseudacorus</t>
        </is>
      </c>
      <c r="C168" s="17" t="inlineStr">
        <is>
          <t>2\</t>
        </is>
      </c>
      <c r="D168" s="17" t="inlineStr">
        <is>
          <t>Ask / Seasonal</t>
        </is>
      </c>
    </row>
    <row r="169">
      <c r="A169" s="15">
        <f>HYPERLINK("https://shoreaquatic.com/shop/wg-mhlita","Lizard'S Tail")</f>
        <v/>
      </c>
      <c r="B169" s="16" t="inlineStr">
        <is>
          <t>Saururus cernuus</t>
        </is>
      </c>
      <c r="C169" s="17" t="inlineStr">
        <is>
          <t>2\</t>
        </is>
      </c>
      <c r="D169" s="17" t="inlineStr">
        <is>
          <t>Ask / Seasonal</t>
        </is>
      </c>
    </row>
    <row r="170">
      <c r="A170" s="15">
        <f>HYPERLINK("https://shoreaquatic.com/shop/wg-mhmama","Marsh Marigold")</f>
        <v/>
      </c>
      <c r="B170" s="16" t="inlineStr">
        <is>
          <t>Caltha palustris</t>
        </is>
      </c>
      <c r="C170" s="17" t="inlineStr">
        <is>
          <t>2\</t>
        </is>
      </c>
      <c r="D170" s="17" t="inlineStr">
        <is>
          <t>Ask / Seasonal</t>
        </is>
      </c>
    </row>
    <row r="171">
      <c r="A171" s="15">
        <f>HYPERLINK("https://shoreaquatic.com/shop/wg-mhmofl","Monkey Flower")</f>
        <v/>
      </c>
      <c r="B171" s="16" t="inlineStr">
        <is>
          <t>Mimulus ringens</t>
        </is>
      </c>
      <c r="C171" s="17" t="inlineStr">
        <is>
          <t>2\</t>
        </is>
      </c>
      <c r="D171" s="17" t="inlineStr">
        <is>
          <t>Ask / Seasonal</t>
        </is>
      </c>
    </row>
    <row r="172">
      <c r="A172" s="15">
        <f>HYPERLINK("https://shoreaquatic.com/shop/wg-mhobpl","Obedient Plant")</f>
        <v/>
      </c>
      <c r="B172" s="16" t="inlineStr">
        <is>
          <t>Physostegia leptophylla</t>
        </is>
      </c>
      <c r="C172" s="17" t="inlineStr">
        <is>
          <t>2\</t>
        </is>
      </c>
      <c r="D172" s="17" t="inlineStr">
        <is>
          <t>Ask / Seasonal</t>
        </is>
      </c>
    </row>
    <row r="173">
      <c r="A173" s="15">
        <f>HYPERLINK("https://shoreaquatic.com/shop/wg-mhpeva","Pennywort, Variegated")</f>
        <v/>
      </c>
      <c r="B173" s="16" t="inlineStr">
        <is>
          <t>Hydrocotyle ranunculoides 'Crystal Ball'</t>
        </is>
      </c>
      <c r="C173" s="17" t="inlineStr">
        <is>
          <t>2\</t>
        </is>
      </c>
      <c r="D173" s="17" t="inlineStr">
        <is>
          <t>Ask / Seasonal</t>
        </is>
      </c>
    </row>
    <row r="174">
      <c r="A174" s="15">
        <f>HYPERLINK("https://shoreaquatic.com/shop/wg-mhpibl","Pickerel, Blue")</f>
        <v/>
      </c>
      <c r="B174" s="16" t="inlineStr">
        <is>
          <t>Pontederia cordata</t>
        </is>
      </c>
      <c r="C174" s="17" t="inlineStr">
        <is>
          <t>2\</t>
        </is>
      </c>
      <c r="D174" s="17" t="inlineStr">
        <is>
          <t>Ask / Seasonal</t>
        </is>
      </c>
    </row>
    <row r="175">
      <c r="A175" s="15">
        <f>HYPERLINK("https://shoreaquatic.com/shop/wg-mhpiwh","Pickerel, White")</f>
        <v/>
      </c>
      <c r="B175" s="16" t="inlineStr">
        <is>
          <t>Pontederia cordata alba</t>
        </is>
      </c>
      <c r="C175" s="17" t="inlineStr">
        <is>
          <t>2\</t>
        </is>
      </c>
      <c r="D175" s="17" t="inlineStr">
        <is>
          <t>Ask / Seasonal</t>
        </is>
      </c>
    </row>
    <row r="176">
      <c r="A176" s="15">
        <f>HYPERLINK("https://shoreaquatic.com/shop/wg-mhplre","Plantain, Red")</f>
        <v/>
      </c>
      <c r="B176" s="16" t="inlineStr">
        <is>
          <t>Alisma plantago major 'Rubrifolia'</t>
        </is>
      </c>
      <c r="C176" s="17" t="inlineStr">
        <is>
          <t>2\</t>
        </is>
      </c>
      <c r="D176" s="17" t="inlineStr">
        <is>
          <t>Ask / Seasonal</t>
        </is>
      </c>
    </row>
    <row r="177">
      <c r="A177" s="15">
        <f>HYPERLINK("https://shoreaquatic.com/shop/wg-mhreca","Reed 'Candy Stripe'")</f>
        <v/>
      </c>
      <c r="B177" s="16" t="inlineStr">
        <is>
          <t>Phragmites australis 'Candy Stripe'</t>
        </is>
      </c>
      <c r="C177" s="17" t="inlineStr">
        <is>
          <t>2\</t>
        </is>
      </c>
      <c r="D177" s="17" t="inlineStr">
        <is>
          <t>Ask / Seasonal</t>
        </is>
      </c>
    </row>
    <row r="178">
      <c r="A178" s="15">
        <f>HYPERLINK("https://shoreaquatic.com/shop/wg-mhrevag","Reed, Variegated Giant")</f>
        <v/>
      </c>
      <c r="B178" s="16" t="inlineStr">
        <is>
          <t>Arundo donax 'Peppermint Stick'</t>
        </is>
      </c>
      <c r="C178" s="17" t="inlineStr">
        <is>
          <t>2\</t>
        </is>
      </c>
      <c r="D178" s="17" t="inlineStr">
        <is>
          <t>Ask / Seasonal</t>
        </is>
      </c>
    </row>
    <row r="179">
      <c r="A179" s="15">
        <f>HYPERLINK("https://shoreaquatic.com/shop/wg-mhrigrs","Ribbon Grass, Strawberries And Cream")</f>
        <v/>
      </c>
      <c r="B179" s="16" t="inlineStr">
        <is>
          <t>Phalaris arundinacea 'Strawberries and Cream'</t>
        </is>
      </c>
      <c r="C179" s="17" t="inlineStr">
        <is>
          <t>2\</t>
        </is>
      </c>
      <c r="D179" s="17" t="inlineStr">
        <is>
          <t>Ask / Seasonal</t>
        </is>
      </c>
    </row>
    <row r="180">
      <c r="A180" s="15">
        <f>HYPERLINK("https://shoreaquatic.com/shop/wg-mhrugo","Rush 'Gold Strike'")</f>
        <v/>
      </c>
      <c r="B180" s="16" t="inlineStr">
        <is>
          <t>Juncus effusus 'Gold Strike'</t>
        </is>
      </c>
      <c r="C180" s="17" t="inlineStr">
        <is>
          <t>2\</t>
        </is>
      </c>
      <c r="D180" s="17" t="inlineStr">
        <is>
          <t>Ask / Seasonal</t>
        </is>
      </c>
    </row>
    <row r="181">
      <c r="A181" s="15">
        <f>HYPERLINK("https://shoreaquatic.com/shop/wg-mhrubl","Rush, Blue")</f>
        <v/>
      </c>
      <c r="B181" s="16" t="inlineStr">
        <is>
          <t>Juncus glauca</t>
        </is>
      </c>
      <c r="C181" s="17" t="inlineStr">
        <is>
          <t>2\</t>
        </is>
      </c>
      <c r="D181" s="17" t="inlineStr">
        <is>
          <t>Ask / Seasonal</t>
        </is>
      </c>
    </row>
    <row r="182">
      <c r="A182" s="15">
        <f>HYPERLINK("https://shoreaquatic.com/shop/wg-mhrucom","Rush, Common")</f>
        <v/>
      </c>
      <c r="B182" s="16" t="inlineStr">
        <is>
          <t>Juncus effusus</t>
        </is>
      </c>
      <c r="C182" s="17" t="inlineStr">
        <is>
          <t>2\</t>
        </is>
      </c>
      <c r="D182" s="17" t="inlineStr">
        <is>
          <t>Ask / Seasonal</t>
        </is>
      </c>
    </row>
    <row r="183">
      <c r="A183" s="15">
        <f>HYPERLINK("https://shoreaquatic.com/shop/wg-mhrucor","Rush, Corkscrew")</f>
        <v/>
      </c>
      <c r="B183" s="16" t="inlineStr">
        <is>
          <t>Juncus effusus spiralis</t>
        </is>
      </c>
      <c r="C183" s="17" t="inlineStr">
        <is>
          <t>2\</t>
        </is>
      </c>
      <c r="D183" s="17" t="inlineStr">
        <is>
          <t>Ask / Seasonal</t>
        </is>
      </c>
    </row>
    <row r="184">
      <c r="A184" s="15">
        <f>HYPERLINK("https://shoreaquatic.com/shop/wg-mhrucob","Rush, Corkscrew Blue Medusa")</f>
        <v/>
      </c>
      <c r="B184" s="16" t="inlineStr">
        <is>
          <t>Juncus inflexus 'Afro'</t>
        </is>
      </c>
      <c r="C184" s="17" t="inlineStr">
        <is>
          <t>2\</t>
        </is>
      </c>
      <c r="D184" s="17" t="inlineStr">
        <is>
          <t>Ask / Seasonal</t>
        </is>
      </c>
    </row>
    <row r="185">
      <c r="A185" s="15">
        <f>HYPERLINK("https://shoreaquatic.com/shop/wg-mhruho","Rush, Horsetail")</f>
        <v/>
      </c>
      <c r="B185" s="16" t="inlineStr">
        <is>
          <t>Equisetum hyemale</t>
        </is>
      </c>
      <c r="C185" s="17" t="inlineStr">
        <is>
          <t>2\</t>
        </is>
      </c>
      <c r="D185" s="17" t="inlineStr">
        <is>
          <t>Ask / Seasonal</t>
        </is>
      </c>
    </row>
    <row r="186">
      <c r="A186" s="15">
        <f>HYPERLINK("https://shoreaquatic.com/shop/wg-mhruhod","Rush, Horsetail Dwarf")</f>
        <v/>
      </c>
      <c r="B186" s="16" t="inlineStr">
        <is>
          <t>Equisetum scirpoides</t>
        </is>
      </c>
      <c r="C186" s="17" t="inlineStr">
        <is>
          <t>2\</t>
        </is>
      </c>
      <c r="D186" s="17" t="inlineStr">
        <is>
          <t>Ask / Seasonal</t>
        </is>
      </c>
    </row>
    <row r="187">
      <c r="A187" s="15">
        <f>HYPERLINK("https://shoreaquatic.com/shop/wg-mhruth","Rush, Three Square")</f>
        <v/>
      </c>
      <c r="B187" s="16" t="inlineStr">
        <is>
          <t>Schoenoplectus americanus</t>
        </is>
      </c>
      <c r="C187" s="17" t="inlineStr">
        <is>
          <t>2\</t>
        </is>
      </c>
      <c r="D187" s="17" t="inlineStr">
        <is>
          <t>Ask / Seasonal</t>
        </is>
      </c>
    </row>
    <row r="188">
      <c r="A188" s="15">
        <f>HYPERLINK("https://shoreaquatic.com/shop/wg-mhruva","Rush, Variegated")</f>
        <v/>
      </c>
      <c r="B188" s="16" t="inlineStr">
        <is>
          <t>Baumea rubiginosa variegata</t>
        </is>
      </c>
      <c r="C188" s="17" t="inlineStr">
        <is>
          <t>2\</t>
        </is>
      </c>
      <c r="D188" s="17" t="inlineStr">
        <is>
          <t>Ask / Seasonal</t>
        </is>
      </c>
    </row>
    <row r="189">
      <c r="A189" s="15">
        <f>HYPERLINK("https://shoreaquatic.com/shop/wg-mhruwh","Rush, White")</f>
        <v/>
      </c>
      <c r="B189" s="16" t="inlineStr">
        <is>
          <t>Schoenoplectus lacustris subsp. tabernae montani 'Albescens'</t>
        </is>
      </c>
      <c r="C189" s="17" t="inlineStr">
        <is>
          <t>2\</t>
        </is>
      </c>
      <c r="D189" s="17" t="inlineStr">
        <is>
          <t>Ask / Seasonal</t>
        </is>
      </c>
    </row>
    <row r="190">
      <c r="A190" s="15">
        <f>HYPERLINK("https://shoreaquatic.com/shop/wg-mhruze","Rush, Zebra")</f>
        <v/>
      </c>
      <c r="B190" s="16" t="inlineStr">
        <is>
          <t>Schoenoplectus lacustris subsp. tabernae-montani 'Zebrinus'</t>
        </is>
      </c>
      <c r="C190" s="17" t="inlineStr">
        <is>
          <t>2\</t>
        </is>
      </c>
      <c r="D190" s="17" t="inlineStr">
        <is>
          <t>Ask / Seasonal</t>
        </is>
      </c>
    </row>
    <row r="191">
      <c r="A191" s="15">
        <f>HYPERLINK("https://shoreaquatic.com/shop/wg-mhsaar","Sagittaria, Arrowhead")</f>
        <v/>
      </c>
      <c r="B191" s="16" t="inlineStr">
        <is>
          <t>Sagittaria latifolia</t>
        </is>
      </c>
      <c r="C191" s="17" t="inlineStr">
        <is>
          <t>2\</t>
        </is>
      </c>
      <c r="D191" s="17" t="inlineStr">
        <is>
          <t>Ask / Seasonal</t>
        </is>
      </c>
    </row>
    <row r="192">
      <c r="A192" s="15">
        <f>HYPERLINK("https://shoreaquatic.com/shop/wg-mhsacr","Sagittaria, Crushed Ice")</f>
        <v/>
      </c>
      <c r="B192" s="16" t="inlineStr">
        <is>
          <t>Sagittaria graminea 'Crushed Ice'</t>
        </is>
      </c>
      <c r="C192" s="17" t="inlineStr">
        <is>
          <t>2\</t>
        </is>
      </c>
      <c r="D192" s="17" t="inlineStr">
        <is>
          <t>Ask / Seasonal</t>
        </is>
      </c>
    </row>
    <row r="193">
      <c r="A193" s="15">
        <f>HYPERLINK("https://shoreaquatic.com/shop/wg-mhsado","Sagittaria, Double Flower")</f>
        <v/>
      </c>
      <c r="B193" s="16" t="inlineStr">
        <is>
          <t>Sagittaria japonica</t>
        </is>
      </c>
      <c r="C193" s="17" t="inlineStr">
        <is>
          <t>2\</t>
        </is>
      </c>
      <c r="D193" s="17" t="inlineStr">
        <is>
          <t>Ask / Seasonal</t>
        </is>
      </c>
    </row>
    <row r="194">
      <c r="A194" s="15">
        <f>HYPERLINK("https://shoreaquatic.com/shop/wg-mhsego","Sedge, Golden")</f>
        <v/>
      </c>
      <c r="B194" s="16" t="inlineStr">
        <is>
          <t>Carex elata 'Bowles Golden'</t>
        </is>
      </c>
      <c r="C194" s="17" t="inlineStr">
        <is>
          <t>2\</t>
        </is>
      </c>
      <c r="D194" s="17" t="inlineStr">
        <is>
          <t>Ask / Seasonal</t>
        </is>
      </c>
    </row>
    <row r="195">
      <c r="A195" s="15">
        <f>HYPERLINK("https://shoreaquatic.com/shop/wg-mhspi","Spikerush")</f>
        <v/>
      </c>
      <c r="B195" s="16" t="inlineStr">
        <is>
          <t>Eleocharis montevidensis</t>
        </is>
      </c>
      <c r="C195" s="17" t="inlineStr">
        <is>
          <t>2\</t>
        </is>
      </c>
      <c r="D195" s="17" t="inlineStr">
        <is>
          <t>Ask / Seasonal</t>
        </is>
      </c>
    </row>
    <row r="196">
      <c r="A196" s="15">
        <f>HYPERLINK("https://shoreaquatic.com/shop/wg-mhswgo","Sweetflag, Golden")</f>
        <v/>
      </c>
      <c r="B196" s="16" t="inlineStr">
        <is>
          <t>Acorus gramineus 'Ogon'</t>
        </is>
      </c>
      <c r="C196" s="17" t="inlineStr">
        <is>
          <t>2\</t>
        </is>
      </c>
      <c r="D196" s="17" t="inlineStr">
        <is>
          <t>Ask / Seasonal</t>
        </is>
      </c>
    </row>
    <row r="197">
      <c r="A197" s="15">
        <f>HYPERLINK("https://shoreaquatic.com/shop/wg-mhswva","Sweetflag, Variegated")</f>
        <v/>
      </c>
      <c r="B197" s="16" t="inlineStr">
        <is>
          <t>Acorus calamus variegatus</t>
        </is>
      </c>
      <c r="C197" s="17" t="inlineStr">
        <is>
          <t>2\</t>
        </is>
      </c>
      <c r="D197" s="17" t="inlineStr">
        <is>
          <t>Ask / Seasonal</t>
        </is>
      </c>
    </row>
    <row r="198">
      <c r="A198" s="15">
        <f>HYPERLINK("https://shoreaquatic.com/shop/wg-mhswvad","Sweetflag, Variegated Dwf")</f>
        <v/>
      </c>
      <c r="B198" s="16" t="inlineStr"/>
      <c r="C198" s="17" t="inlineStr">
        <is>
          <t>2\</t>
        </is>
      </c>
      <c r="D198" s="17" t="inlineStr">
        <is>
          <t>Ask / Seasonal</t>
        </is>
      </c>
    </row>
    <row r="199">
      <c r="A199" s="15">
        <f>HYPERLINK("https://shoreaquatic.com/shop/wg-mhthde","Thalia Dealbata")</f>
        <v/>
      </c>
      <c r="B199" s="16" t="inlineStr">
        <is>
          <t>Thalia dealbata</t>
        </is>
      </c>
      <c r="C199" s="17" t="inlineStr">
        <is>
          <t>2\</t>
        </is>
      </c>
      <c r="D199" s="17" t="inlineStr">
        <is>
          <t>Ask / Seasonal</t>
        </is>
      </c>
    </row>
    <row r="200">
      <c r="A200" s="15">
        <f>HYPERLINK("https://shoreaquatic.com/shop/wg-mhwacev","Water Celery, Variegated")</f>
        <v/>
      </c>
      <c r="B200" s="16" t="inlineStr">
        <is>
          <t>Oenanthe javanica 'Flamingo'</t>
        </is>
      </c>
      <c r="C200" s="17" t="inlineStr">
        <is>
          <t>2\</t>
        </is>
      </c>
      <c r="D200" s="17" t="inlineStr">
        <is>
          <t>Ask / Seasonal</t>
        </is>
      </c>
    </row>
    <row r="201">
      <c r="A201" s="14" t="inlineStr">
        <is>
          <t xml:space="preserve">  Marginal Hardy - 4\  (3)</t>
        </is>
      </c>
    </row>
    <row r="202">
      <c r="A202" s="15">
        <f>HYPERLINK("https://shoreaquatic.com/shop/wg-mhpiwh4","Pickerel, White 4")</f>
        <v/>
      </c>
      <c r="B202" s="16" t="inlineStr"/>
      <c r="C202" s="17" t="inlineStr">
        <is>
          <t>4\</t>
        </is>
      </c>
      <c r="D202" s="17" t="inlineStr">
        <is>
          <t>Ask / Seasonal</t>
        </is>
      </c>
    </row>
    <row r="203">
      <c r="A203" s="15">
        <f>HYPERLINK("https://shoreaquatic.com/shop/wg-mhrugo4","Rush 'Gold Strike' 4")</f>
        <v/>
      </c>
      <c r="B203" s="16" t="inlineStr"/>
      <c r="C203" s="17" t="inlineStr">
        <is>
          <t>4\</t>
        </is>
      </c>
      <c r="D203" s="17" t="inlineStr">
        <is>
          <t>Ask / Seasonal</t>
        </is>
      </c>
    </row>
    <row r="204">
      <c r="A204" s="15">
        <f>HYPERLINK("https://shoreaquatic.com/shop/wg-mhthde4","Thalia Dealbata 4")</f>
        <v/>
      </c>
      <c r="B204" s="16" t="inlineStr"/>
      <c r="C204" s="17" t="inlineStr">
        <is>
          <t>4\</t>
        </is>
      </c>
      <c r="D204" s="17" t="inlineStr">
        <is>
          <t>Ask / Seasonal</t>
        </is>
      </c>
    </row>
    <row r="205">
      <c r="A205" s="14" t="inlineStr">
        <is>
          <t xml:space="preserve">  Marginal Tropical - 2\  (145)</t>
        </is>
      </c>
    </row>
    <row r="206">
      <c r="A206" s="15">
        <f>HYPERLINK("https://shoreaquatic.com/shop/wg-oanachnl","Anacharis No Weight.")</f>
        <v/>
      </c>
      <c r="B206" s="16" t="inlineStr"/>
      <c r="C206" s="17" t="inlineStr">
        <is>
          <t>2\</t>
        </is>
      </c>
      <c r="D206" s="17" t="inlineStr">
        <is>
          <t>Ask / Seasonal</t>
        </is>
      </c>
    </row>
    <row r="207">
      <c r="A207" s="15">
        <f>HYPERLINK("https://shoreaquatic.com/shop/wg-saqmil","Aquatic Mint, Large Leaf")</f>
        <v/>
      </c>
      <c r="B207" s="16" t="inlineStr"/>
      <c r="C207" s="17" t="inlineStr">
        <is>
          <t>2\</t>
        </is>
      </c>
      <c r="D207" s="17" t="inlineStr">
        <is>
          <t>Ask / Seasonal</t>
        </is>
      </c>
    </row>
    <row r="208">
      <c r="A208" s="15">
        <f>HYPERLINK("https://shoreaquatic.com/shop/wg-saqmis","Aquatic Mint, Small Leaf")</f>
        <v/>
      </c>
      <c r="B208" s="16" t="inlineStr"/>
      <c r="C208" s="17" t="inlineStr">
        <is>
          <t>2\</t>
        </is>
      </c>
      <c r="D208" s="17" t="inlineStr">
        <is>
          <t>Ask / Seasonal</t>
        </is>
      </c>
    </row>
    <row r="209">
      <c r="A209" s="15">
        <f>HYPERLINK("https://shoreaquatic.com/shop/wg-mharar4","Arrow Arum")</f>
        <v/>
      </c>
      <c r="B209" s="16" t="inlineStr">
        <is>
          <t>Peltranda Virginica</t>
        </is>
      </c>
      <c r="C209" s="17" t="inlineStr">
        <is>
          <t>2\</t>
        </is>
      </c>
      <c r="D209" s="17" t="inlineStr">
        <is>
          <t>Ask / Seasonal</t>
        </is>
      </c>
    </row>
    <row r="210">
      <c r="A210" s="15">
        <f>HYPERLINK("https://shoreaquatic.com/shop/wg-sazo","Azolla Portion")</f>
        <v/>
      </c>
      <c r="B210" s="16" t="inlineStr">
        <is>
          <t>Azolla caroliniana</t>
        </is>
      </c>
      <c r="C210" s="17" t="inlineStr">
        <is>
          <t>2\</t>
        </is>
      </c>
      <c r="D210" s="17" t="inlineStr">
        <is>
          <t>Ask / Seasonal</t>
        </is>
      </c>
    </row>
    <row r="211">
      <c r="A211" s="15">
        <f>HYPERLINK("https://shoreaquatic.com/shop/wg-sazoxl","Azolla Portion Xl")</f>
        <v/>
      </c>
      <c r="B211" s="16" t="inlineStr">
        <is>
          <t>Azolla caroliniana</t>
        </is>
      </c>
      <c r="C211" s="17" t="inlineStr">
        <is>
          <t>2\</t>
        </is>
      </c>
      <c r="D211" s="17" t="inlineStr">
        <is>
          <t>Ask / Seasonal</t>
        </is>
      </c>
    </row>
    <row r="212">
      <c r="A212" s="15">
        <f>HYPERLINK("https://shoreaquatic.com/shop/wg-obalenl","Bacopa Lemon No Weight")</f>
        <v/>
      </c>
      <c r="B212" s="16" t="inlineStr"/>
      <c r="C212" s="17" t="inlineStr">
        <is>
          <t>2\</t>
        </is>
      </c>
      <c r="D212" s="17" t="inlineStr">
        <is>
          <t>Ask / Seasonal</t>
        </is>
      </c>
    </row>
    <row r="213">
      <c r="A213" s="15">
        <f>HYPERLINK("https://shoreaquatic.com/shop/wg-mtbarez","Banana, Red Zebra")</f>
        <v/>
      </c>
      <c r="B213" s="16" t="inlineStr">
        <is>
          <t>Musa Sumatrana 'Zebrina Rojo'</t>
        </is>
      </c>
      <c r="C213" s="17" t="inlineStr">
        <is>
          <t>2\</t>
        </is>
      </c>
      <c r="D213" s="17" t="inlineStr">
        <is>
          <t>Ask / Seasonal</t>
        </is>
      </c>
    </row>
    <row r="214">
      <c r="A214" s="15">
        <f>HYPERLINK("https://shoreaquatic.com/shop/wg-mhbldo4","Bloody Dock")</f>
        <v/>
      </c>
      <c r="B214" s="16" t="inlineStr">
        <is>
          <t>Rumex Sanguineus</t>
        </is>
      </c>
      <c r="C214" s="17" t="inlineStr">
        <is>
          <t>2\</t>
        </is>
      </c>
      <c r="D214" s="17" t="inlineStr">
        <is>
          <t>Ask / Seasonal</t>
        </is>
      </c>
    </row>
    <row r="215">
      <c r="A215" s="15">
        <f>HYPERLINK("https://shoreaquatic.com/shop/wg-mtblbe","Blue Bell")</f>
        <v/>
      </c>
      <c r="B215" s="16" t="inlineStr">
        <is>
          <t>Ruellia brittoniana</t>
        </is>
      </c>
      <c r="C215" s="17" t="inlineStr">
        <is>
          <t>2\</t>
        </is>
      </c>
      <c r="D215" s="17" t="inlineStr">
        <is>
          <t>Ask / Seasonal</t>
        </is>
      </c>
    </row>
    <row r="216">
      <c r="A216" s="15">
        <f>HYPERLINK("https://shoreaquatic.com/shop/wg-mtblbecopi","Blue Bell 'Compacta Pink")</f>
        <v/>
      </c>
      <c r="B216" s="16" t="inlineStr">
        <is>
          <t>Ruellia brittoniana</t>
        </is>
      </c>
      <c r="C216" s="17" t="inlineStr">
        <is>
          <t>2\</t>
        </is>
      </c>
      <c r="D216" s="17" t="inlineStr">
        <is>
          <t>Ask / Seasonal</t>
        </is>
      </c>
    </row>
    <row r="217">
      <c r="A217" s="15">
        <f>HYPERLINK("https://shoreaquatic.com/shop/wg-mtblbec","Blue Bell 'Compacta'")</f>
        <v/>
      </c>
      <c r="B217" s="16" t="inlineStr">
        <is>
          <t>Ruellia brittoniana 'Katie'</t>
        </is>
      </c>
      <c r="C217" s="17" t="inlineStr">
        <is>
          <t>2\</t>
        </is>
      </c>
      <c r="D217" s="17" t="inlineStr">
        <is>
          <t>Ask / Seasonal</t>
        </is>
      </c>
    </row>
    <row r="218">
      <c r="A218" s="15">
        <f>HYPERLINK("https://shoreaquatic.com/shop/wg-mtblbew","Blue Bell 'Compacta' White")</f>
        <v/>
      </c>
      <c r="B218" s="16" t="inlineStr">
        <is>
          <t>Ruellia brittoniana</t>
        </is>
      </c>
      <c r="C218" s="17" t="inlineStr">
        <is>
          <t>2\</t>
        </is>
      </c>
      <c r="D218" s="17" t="inlineStr">
        <is>
          <t>Ask / Seasonal</t>
        </is>
      </c>
    </row>
    <row r="219">
      <c r="A219" s="15">
        <f>HYPERLINK("https://shoreaquatic.com/shop/wg-mtblbep","Blue Bell Pink 'Chi Chi'")</f>
        <v/>
      </c>
      <c r="B219" s="16" t="inlineStr">
        <is>
          <t>Ruellia brittoniana 'Chi Chi'</t>
        </is>
      </c>
      <c r="C219" s="17" t="inlineStr">
        <is>
          <t>2\</t>
        </is>
      </c>
      <c r="D219" s="17" t="inlineStr">
        <is>
          <t>Ask / Seasonal</t>
        </is>
      </c>
    </row>
    <row r="220">
      <c r="A220" s="15">
        <f>HYPERLINK("https://shoreaquatic.com/shop/wg-mtblbec4","Blue Bell, Compacta")</f>
        <v/>
      </c>
      <c r="B220" s="16" t="inlineStr">
        <is>
          <t>Ruellia brittoniana 'Katie'</t>
        </is>
      </c>
      <c r="C220" s="17" t="inlineStr">
        <is>
          <t>2\</t>
        </is>
      </c>
      <c r="D220" s="17" t="inlineStr">
        <is>
          <t>Ask / Seasonal</t>
        </is>
      </c>
    </row>
    <row r="221">
      <c r="A221" s="15">
        <f>HYPERLINK("https://shoreaquatic.com/shop/wg-sbobe","Bog Bean")</f>
        <v/>
      </c>
      <c r="B221" s="16" t="inlineStr"/>
      <c r="C221" s="17" t="inlineStr">
        <is>
          <t>2\</t>
        </is>
      </c>
      <c r="D221" s="17" t="inlineStr">
        <is>
          <t>Ask / Seasonal</t>
        </is>
      </c>
    </row>
    <row r="222">
      <c r="A222" s="15">
        <f>HYPERLINK("https://shoreaquatic.com/shop/wg-mtboli","Bog Lily")</f>
        <v/>
      </c>
      <c r="B222" s="16" t="inlineStr"/>
      <c r="C222" s="17" t="inlineStr">
        <is>
          <t>2\</t>
        </is>
      </c>
      <c r="D222" s="17" t="inlineStr">
        <is>
          <t>Ask / Seasonal</t>
        </is>
      </c>
    </row>
    <row r="223">
      <c r="A223" s="15">
        <f>HYPERLINK("https://shoreaquatic.com/shop/wg-mtbolire","Bog Lily, Red")</f>
        <v/>
      </c>
      <c r="B223" s="16" t="inlineStr">
        <is>
          <t>Crinum 'Menehune'</t>
        </is>
      </c>
      <c r="C223" s="17" t="inlineStr">
        <is>
          <t>2\</t>
        </is>
      </c>
      <c r="D223" s="17" t="inlineStr">
        <is>
          <t>Ask / Seasonal</t>
        </is>
      </c>
    </row>
    <row r="224">
      <c r="A224" s="15">
        <f>HYPERLINK("https://shoreaquatic.com/shop/wg-mtbolir4","Bog Lily, Red")</f>
        <v/>
      </c>
      <c r="B224" s="16" t="inlineStr">
        <is>
          <t>Crinum 'Menehune'</t>
        </is>
      </c>
      <c r="C224" s="17" t="inlineStr">
        <is>
          <t>2\</t>
        </is>
      </c>
      <c r="D224" s="17" t="inlineStr">
        <is>
          <t>Ask / Seasonal</t>
        </is>
      </c>
    </row>
    <row r="225">
      <c r="A225" s="15">
        <f>HYPERLINK("https://shoreaquatic.com/shop/wg-ocapunl","Cabomba, Purple No Weight")</f>
        <v/>
      </c>
      <c r="B225" s="16" t="inlineStr"/>
      <c r="C225" s="17" t="inlineStr">
        <is>
          <t>2\</t>
        </is>
      </c>
      <c r="D225" s="17" t="inlineStr">
        <is>
          <t>Ask / Seasonal</t>
        </is>
      </c>
    </row>
    <row r="226">
      <c r="A226" s="15">
        <f>HYPERLINK("https://shoreaquatic.com/shop/wg-mtcend","Canna 'Endeavor' - Red")</f>
        <v/>
      </c>
      <c r="B226" s="16" t="inlineStr">
        <is>
          <t>Canna glauca 'Endeavor'</t>
        </is>
      </c>
      <c r="C226" s="17" t="inlineStr">
        <is>
          <t>2\</t>
        </is>
      </c>
      <c r="D226" s="17" t="inlineStr">
        <is>
          <t>Ask / Seasonal</t>
        </is>
      </c>
    </row>
    <row r="227">
      <c r="A227" s="15">
        <f>HYPERLINK("https://shoreaquatic.com/shop/wg-mtcere","Canna 'Erebus' - Pink")</f>
        <v/>
      </c>
      <c r="B227" s="16" t="inlineStr">
        <is>
          <t>Canna glauca 'Erebus'</t>
        </is>
      </c>
      <c r="C227" s="17" t="inlineStr">
        <is>
          <t>2\</t>
        </is>
      </c>
      <c r="D227" s="17" t="inlineStr">
        <is>
          <t>Ask / Seasonal</t>
        </is>
      </c>
    </row>
    <row r="228">
      <c r="A228" s="15">
        <f>HYPERLINK("https://shoreaquatic.com/shop/wg-mtcape","Canna 'Peach Delight'")</f>
        <v/>
      </c>
      <c r="B228" s="16" t="inlineStr">
        <is>
          <t>Canna 'Peach Delight'</t>
        </is>
      </c>
      <c r="C228" s="17" t="inlineStr">
        <is>
          <t>2\</t>
        </is>
      </c>
      <c r="D228" s="17" t="inlineStr">
        <is>
          <t>Ask / Seasonal</t>
        </is>
      </c>
    </row>
    <row r="229">
      <c r="A229" s="15">
        <f>HYPERLINK("https://shoreaquatic.com/shop/wg-mtcra","Canna 'Ra' - Yellow")</f>
        <v/>
      </c>
      <c r="B229" s="16" t="inlineStr">
        <is>
          <t>Canna glauca 'Ra'</t>
        </is>
      </c>
      <c r="C229" s="17" t="inlineStr">
        <is>
          <t>2\</t>
        </is>
      </c>
      <c r="D229" s="17" t="inlineStr">
        <is>
          <t>Ask / Seasonal</t>
        </is>
      </c>
    </row>
    <row r="230">
      <c r="A230" s="15">
        <f>HYPERLINK("https://shoreaquatic.com/shop/wg-mtcast","Canna 'Striped Beauty'")</f>
        <v/>
      </c>
      <c r="B230" s="16" t="inlineStr">
        <is>
          <t>Canna 'Striped Beauty'</t>
        </is>
      </c>
      <c r="C230" s="17" t="inlineStr">
        <is>
          <t>2\</t>
        </is>
      </c>
      <c r="D230" s="17" t="inlineStr">
        <is>
          <t>Ask / Seasonal</t>
        </is>
      </c>
    </row>
    <row r="231">
      <c r="A231" s="15">
        <f>HYPERLINK("https://shoreaquatic.com/shop/wg-mtcata","Canna 'Taney' - Orange")</f>
        <v/>
      </c>
      <c r="B231" s="16" t="inlineStr">
        <is>
          <t>Canna glauca 'Taney'</t>
        </is>
      </c>
      <c r="C231" s="17" t="inlineStr">
        <is>
          <t>2\</t>
        </is>
      </c>
      <c r="D231" s="17" t="inlineStr">
        <is>
          <t>Ask / Seasonal</t>
        </is>
      </c>
    </row>
    <row r="232">
      <c r="A232" s="15">
        <f>HYPERLINK("https://shoreaquatic.com/shop/wg-mtcaau","Canna Australia")</f>
        <v/>
      </c>
      <c r="B232" s="16" t="inlineStr">
        <is>
          <t>Canna 'Australia'</t>
        </is>
      </c>
      <c r="C232" s="17" t="inlineStr">
        <is>
          <t>2\</t>
        </is>
      </c>
      <c r="D232" s="17" t="inlineStr">
        <is>
          <t>Ask / Seasonal</t>
        </is>
      </c>
    </row>
    <row r="233">
      <c r="A233" s="15">
        <f>HYPERLINK("https://shoreaquatic.com/shop/wg-mtcaau4","Canna, Australia")</f>
        <v/>
      </c>
      <c r="B233" s="16" t="inlineStr">
        <is>
          <t>Canna 'Australia'</t>
        </is>
      </c>
      <c r="C233" s="17" t="inlineStr">
        <is>
          <t>2\</t>
        </is>
      </c>
      <c r="D233" s="17" t="inlineStr">
        <is>
          <t>Ask / Seasonal</t>
        </is>
      </c>
    </row>
    <row r="234">
      <c r="A234" s="15">
        <f>HYPERLINK("https://shoreaquatic.com/shop/wg-mtcabe","Canna, Bengal Tiger")</f>
        <v/>
      </c>
      <c r="B234" s="16" t="inlineStr">
        <is>
          <t>Canna 'Bengal Tiger'</t>
        </is>
      </c>
      <c r="C234" s="17" t="inlineStr">
        <is>
          <t>2\</t>
        </is>
      </c>
      <c r="D234" s="17" t="inlineStr">
        <is>
          <t>Ask / Seasonal</t>
        </is>
      </c>
    </row>
    <row r="235">
      <c r="A235" s="15">
        <f>HYPERLINK("https://shoreaquatic.com/shop/wg-mtcend4","Canna, Endeavor")</f>
        <v/>
      </c>
      <c r="B235" s="16" t="inlineStr">
        <is>
          <t>Canna glauca 'Endeavor'</t>
        </is>
      </c>
      <c r="C235" s="17" t="inlineStr">
        <is>
          <t>2\</t>
        </is>
      </c>
      <c r="D235" s="17" t="inlineStr">
        <is>
          <t>Ask / Seasonal</t>
        </is>
      </c>
    </row>
    <row r="236">
      <c r="A236" s="15">
        <f>HYPERLINK("https://shoreaquatic.com/shop/wg-mtcere4","Canna, Erebus")</f>
        <v/>
      </c>
      <c r="B236" s="16" t="inlineStr">
        <is>
          <t>Canna glauca 'Erebus'</t>
        </is>
      </c>
      <c r="C236" s="17" t="inlineStr">
        <is>
          <t>2\</t>
        </is>
      </c>
      <c r="D236" s="17" t="inlineStr">
        <is>
          <t>Ask / Seasonal</t>
        </is>
      </c>
    </row>
    <row r="237">
      <c r="A237" s="15">
        <f>HYPERLINK("https://shoreaquatic.com/shop/wg-mtcaor4","Canna, King Humbert")</f>
        <v/>
      </c>
      <c r="B237" s="16" t="inlineStr">
        <is>
          <t>Canna 'King Humbert'</t>
        </is>
      </c>
      <c r="C237" s="17" t="inlineStr">
        <is>
          <t>2\</t>
        </is>
      </c>
      <c r="D237" s="17" t="inlineStr">
        <is>
          <t>Ask / Seasonal</t>
        </is>
      </c>
    </row>
    <row r="238">
      <c r="A238" s="15">
        <f>HYPERLINK("https://shoreaquatic.com/shop/wg-mtcaor","Canna, King Humbert - Orange")</f>
        <v/>
      </c>
      <c r="B238" s="16" t="inlineStr">
        <is>
          <t>Canna 'King Humbert'</t>
        </is>
      </c>
      <c r="C238" s="17" t="inlineStr">
        <is>
          <t>2\</t>
        </is>
      </c>
      <c r="D238" s="17" t="inlineStr">
        <is>
          <t>Ask / Seasonal</t>
        </is>
      </c>
    </row>
    <row r="239">
      <c r="A239" s="15">
        <f>HYPERLINK("https://shoreaquatic.com/shop/wg-mtcast4","Canna, Striped Beauty")</f>
        <v/>
      </c>
      <c r="B239" s="16" t="inlineStr">
        <is>
          <t>Canna 'Striped Beauty'</t>
        </is>
      </c>
      <c r="C239" s="17" t="inlineStr">
        <is>
          <t>2\</t>
        </is>
      </c>
      <c r="D239" s="17" t="inlineStr">
        <is>
          <t>Ask / Seasonal</t>
        </is>
      </c>
    </row>
    <row r="240">
      <c r="A240" s="15">
        <f>HYPERLINK("https://shoreaquatic.com/shop/wg-mhcafl4","Cardinal Flower")</f>
        <v/>
      </c>
      <c r="B240" s="16" t="inlineStr">
        <is>
          <t>Lobelia cardinalis</t>
        </is>
      </c>
      <c r="C240" s="17" t="inlineStr">
        <is>
          <t>2\</t>
        </is>
      </c>
      <c r="D240" s="17" t="inlineStr">
        <is>
          <t>Ask / Seasonal</t>
        </is>
      </c>
    </row>
    <row r="241">
      <c r="A241" s="15">
        <f>HYPERLINK("https://shoreaquatic.com/shop/wg-mhcapi4","Cardinal Flower, Pink")</f>
        <v/>
      </c>
      <c r="B241" s="16" t="inlineStr">
        <is>
          <t>Lobelia x speciosa 'Pink'</t>
        </is>
      </c>
      <c r="C241" s="17" t="inlineStr">
        <is>
          <t>2\</t>
        </is>
      </c>
      <c r="D241" s="17" t="inlineStr">
        <is>
          <t>Ask / Seasonal</t>
        </is>
      </c>
    </row>
    <row r="242">
      <c r="A242" s="15">
        <f>HYPERLINK("https://shoreaquatic.com/shop/wg-mhcadw4","Cattail, Dwarf")</f>
        <v/>
      </c>
      <c r="B242" s="16" t="inlineStr">
        <is>
          <t>Typha minima</t>
        </is>
      </c>
      <c r="C242" s="17" t="inlineStr">
        <is>
          <t>2\</t>
        </is>
      </c>
      <c r="D242" s="17" t="inlineStr">
        <is>
          <t>Ask / Seasonal</t>
        </is>
      </c>
    </row>
    <row r="243">
      <c r="A243" s="15">
        <f>HYPERLINK("https://shoreaquatic.com/shop/wg-mhcagr4","Cattail, Graceful")</f>
        <v/>
      </c>
      <c r="B243" s="16" t="inlineStr">
        <is>
          <t>Typha laxmannii</t>
        </is>
      </c>
      <c r="C243" s="17" t="inlineStr">
        <is>
          <t>2\</t>
        </is>
      </c>
      <c r="D243" s="17" t="inlineStr">
        <is>
          <t>Ask / Seasonal</t>
        </is>
      </c>
    </row>
    <row r="244">
      <c r="A244" s="15">
        <f>HYPERLINK("https://shoreaquatic.com/shop/wg-mhcava4","Cattail, Variegated")</f>
        <v/>
      </c>
      <c r="B244" s="16" t="inlineStr">
        <is>
          <t>Typha latifolia variegata</t>
        </is>
      </c>
      <c r="C244" s="17" t="inlineStr">
        <is>
          <t>2\</t>
        </is>
      </c>
      <c r="D244" s="17" t="inlineStr">
        <is>
          <t>Ask / Seasonal</t>
        </is>
      </c>
    </row>
    <row r="245">
      <c r="A245" s="15">
        <f>HYPERLINK("https://shoreaquatic.com/shop/wg-scrje","Creeping Jenny")</f>
        <v/>
      </c>
      <c r="B245" s="16" t="inlineStr"/>
      <c r="C245" s="17" t="inlineStr">
        <is>
          <t>2\</t>
        </is>
      </c>
      <c r="D245" s="17" t="inlineStr">
        <is>
          <t>Ask / Seasonal</t>
        </is>
      </c>
    </row>
    <row r="246">
      <c r="A246" s="15">
        <f>HYPERLINK("https://shoreaquatic.com/shop/wg-scrjego","Creeping Jenny, Golden")</f>
        <v/>
      </c>
      <c r="B246" s="16" t="inlineStr"/>
      <c r="C246" s="17" t="inlineStr">
        <is>
          <t>2\</t>
        </is>
      </c>
      <c r="D246" s="17" t="inlineStr">
        <is>
          <t>Ask / Seasonal</t>
        </is>
      </c>
    </row>
    <row r="247">
      <c r="A247" s="15">
        <f>HYPERLINK("https://shoreaquatic.com/shop/wg-sduc","Duckweed Portion")</f>
        <v/>
      </c>
      <c r="B247" s="16" t="inlineStr">
        <is>
          <t>Lemna minor</t>
        </is>
      </c>
      <c r="C247" s="17" t="inlineStr">
        <is>
          <t>2\</t>
        </is>
      </c>
      <c r="D247" s="17" t="inlineStr">
        <is>
          <t>Ask / Seasonal</t>
        </is>
      </c>
    </row>
    <row r="248">
      <c r="A248" s="15">
        <f>HYPERLINK("https://shoreaquatic.com/shop/wg-sducxl","Duckweed Portion Xl")</f>
        <v/>
      </c>
      <c r="B248" s="16" t="inlineStr">
        <is>
          <t>Lemna minor</t>
        </is>
      </c>
      <c r="C248" s="17" t="inlineStr">
        <is>
          <t>2\</t>
        </is>
      </c>
      <c r="D248" s="17" t="inlineStr">
        <is>
          <t>Ask / Seasonal</t>
        </is>
      </c>
    </row>
    <row r="249">
      <c r="A249" s="15">
        <f>HYPERLINK("https://shoreaquatic.com/shop/wg-sfro","Frogbit")</f>
        <v/>
      </c>
      <c r="B249" s="16" t="inlineStr"/>
      <c r="C249" s="17" t="inlineStr">
        <is>
          <t>2\</t>
        </is>
      </c>
      <c r="D249" s="17" t="inlineStr">
        <is>
          <t>Ask / Seasonal</t>
        </is>
      </c>
    </row>
    <row r="250">
      <c r="A250" s="15">
        <f>HYPERLINK("https://shoreaquatic.com/shop/wg-ohorbx","Hornwort Box")</f>
        <v/>
      </c>
      <c r="B250" s="16" t="inlineStr">
        <is>
          <t>Ceratophyllum demersum</t>
        </is>
      </c>
      <c r="C250" s="17" t="inlineStr">
        <is>
          <t>2\</t>
        </is>
      </c>
      <c r="D250" s="17" t="inlineStr">
        <is>
          <t>Ask / Seasonal</t>
        </is>
      </c>
    </row>
    <row r="251">
      <c r="A251" s="15">
        <f>HYPERLINK("https://shoreaquatic.com/shop/wg-ohornl","Hornwort No Weight")</f>
        <v/>
      </c>
      <c r="B251" s="16" t="inlineStr"/>
      <c r="C251" s="17" t="inlineStr">
        <is>
          <t>2\</t>
        </is>
      </c>
      <c r="D251" s="17" t="inlineStr">
        <is>
          <t>Ask / Seasonal</t>
        </is>
      </c>
    </row>
    <row r="252">
      <c r="A252" s="15">
        <f>HYPERLINK("https://shoreaquatic.com/shop/wg-mhhoch4","Houttuynia Chameleon")</f>
        <v/>
      </c>
      <c r="B252" s="16" t="inlineStr">
        <is>
          <t>Houttuynia cordata 'Chameleon'</t>
        </is>
      </c>
      <c r="C252" s="17" t="inlineStr">
        <is>
          <t>2\</t>
        </is>
      </c>
      <c r="D252" s="17" t="inlineStr">
        <is>
          <t>Ask / Seasonal</t>
        </is>
      </c>
    </row>
    <row r="253">
      <c r="A253" s="15">
        <f>HYPERLINK("https://shoreaquatic.com/shop/wg-mhiblga4","Iris, Black Gamecock")</f>
        <v/>
      </c>
      <c r="B253" s="16" t="inlineStr">
        <is>
          <t>Iris lousiana 'Black Gamecock'</t>
        </is>
      </c>
      <c r="C253" s="17" t="inlineStr">
        <is>
          <t>2\</t>
        </is>
      </c>
      <c r="D253" s="17" t="inlineStr">
        <is>
          <t>Ask / Seasonal</t>
        </is>
      </c>
    </row>
    <row r="254">
      <c r="A254" s="15">
        <f>HYPERLINK("https://shoreaquatic.com/shop/wg-mhirbl4","Iris, Blue")</f>
        <v/>
      </c>
      <c r="B254" s="16" t="inlineStr">
        <is>
          <t>Iris versicolor</t>
        </is>
      </c>
      <c r="C254" s="17" t="inlineStr">
        <is>
          <t>2\</t>
        </is>
      </c>
      <c r="D254" s="17" t="inlineStr">
        <is>
          <t>Ask / Seasonal</t>
        </is>
      </c>
    </row>
    <row r="255">
      <c r="A255" s="15">
        <f>HYPERLINK("https://shoreaquatic.com/shop/wg-mhirjav4","Iris, Japanese Variegated")</f>
        <v/>
      </c>
      <c r="B255" s="16" t="inlineStr">
        <is>
          <t>Iris kaempferi 'Variegata'</t>
        </is>
      </c>
      <c r="C255" s="17" t="inlineStr">
        <is>
          <t>2\</t>
        </is>
      </c>
      <c r="D255" s="17" t="inlineStr">
        <is>
          <t>Ask / Seasonal</t>
        </is>
      </c>
    </row>
    <row r="256">
      <c r="A256" s="15">
        <f>HYPERLINK("https://shoreaquatic.com/shop/wg-mhirye4","Iris, Yellow")</f>
        <v/>
      </c>
      <c r="B256" s="16" t="inlineStr">
        <is>
          <t>Iris pseudacorus</t>
        </is>
      </c>
      <c r="C256" s="17" t="inlineStr">
        <is>
          <t>2\</t>
        </is>
      </c>
      <c r="D256" s="17" t="inlineStr">
        <is>
          <t>Ask / Seasonal</t>
        </is>
      </c>
    </row>
    <row r="257">
      <c r="A257" s="15">
        <f>HYPERLINK("https://shoreaquatic.com/shop/wg-mtlefe","Leather Fern")</f>
        <v/>
      </c>
      <c r="B257" s="16" t="inlineStr">
        <is>
          <t>Acrostichum danaefolium</t>
        </is>
      </c>
      <c r="C257" s="17" t="inlineStr">
        <is>
          <t>2\</t>
        </is>
      </c>
      <c r="D257" s="17" t="inlineStr">
        <is>
          <t>Ask / Seasonal</t>
        </is>
      </c>
    </row>
    <row r="258">
      <c r="A258" s="15">
        <f>HYPERLINK("https://shoreaquatic.com/shop/wg-mtlefe4","Leather Fern")</f>
        <v/>
      </c>
      <c r="B258" s="16" t="inlineStr">
        <is>
          <t>Acrostichum danaefolium</t>
        </is>
      </c>
      <c r="C258" s="17" t="inlineStr">
        <is>
          <t>2\</t>
        </is>
      </c>
      <c r="D258" s="17" t="inlineStr">
        <is>
          <t>Ask / Seasonal</t>
        </is>
      </c>
    </row>
    <row r="259">
      <c r="A259" s="15">
        <f>HYPERLINK("https://shoreaquatic.com/shop/wg-oludnl","Ludwigia No Weight")</f>
        <v/>
      </c>
      <c r="B259" s="16" t="inlineStr"/>
      <c r="C259" s="17" t="inlineStr">
        <is>
          <t>2\</t>
        </is>
      </c>
      <c r="D259" s="17" t="inlineStr">
        <is>
          <t>Ask / Seasonal</t>
        </is>
      </c>
    </row>
    <row r="260">
      <c r="A260" s="15">
        <f>HYPERLINK("https://shoreaquatic.com/shop/wg-sluse","Ludwigia Sedioides")</f>
        <v/>
      </c>
      <c r="B260" s="16" t="inlineStr"/>
      <c r="C260" s="17" t="inlineStr">
        <is>
          <t>2\</t>
        </is>
      </c>
      <c r="D260" s="17" t="inlineStr">
        <is>
          <t>Ask / Seasonal</t>
        </is>
      </c>
    </row>
    <row r="261">
      <c r="A261" s="15">
        <f>HYPERLINK("https://shoreaquatic.com/shop/wg-olurenl","Ludwigia, Red Star No Weight")</f>
        <v/>
      </c>
      <c r="B261" s="16" t="inlineStr"/>
      <c r="C261" s="17" t="inlineStr">
        <is>
          <t>2\</t>
        </is>
      </c>
      <c r="D261" s="17" t="inlineStr">
        <is>
          <t>Ask / Seasonal</t>
        </is>
      </c>
    </row>
    <row r="262">
      <c r="A262" s="15">
        <f>HYPERLINK("https://shoreaquatic.com/shop/wg-mmadrm","Malasian Driftw Case - Md")</f>
        <v/>
      </c>
      <c r="B262" s="16" t="inlineStr">
        <is>
          <t>Case of Driftwood 12 Pieces per case</t>
        </is>
      </c>
      <c r="C262" s="17" t="inlineStr">
        <is>
          <t>2\</t>
        </is>
      </c>
      <c r="D262" s="17" t="inlineStr">
        <is>
          <t>Ask / Seasonal</t>
        </is>
      </c>
    </row>
    <row r="263">
      <c r="A263" s="15">
        <f>HYPERLINK("https://shoreaquatic.com/shop/wg-mtmebu","Mexican Butterfly Weed")</f>
        <v/>
      </c>
      <c r="B263" s="16" t="inlineStr">
        <is>
          <t>Asclepias curassavica</t>
        </is>
      </c>
      <c r="C263" s="17" t="inlineStr">
        <is>
          <t>2\</t>
        </is>
      </c>
      <c r="D263" s="17" t="inlineStr">
        <is>
          <t>Ask / Seasonal</t>
        </is>
      </c>
    </row>
    <row r="264">
      <c r="A264" s="15">
        <f>HYPERLINK("https://shoreaquatic.com/shop/wg-omonnl","Moneywort.. No Weight")</f>
        <v/>
      </c>
      <c r="B264" s="16" t="inlineStr"/>
      <c r="C264" s="17" t="inlineStr">
        <is>
          <t>2\</t>
        </is>
      </c>
      <c r="D264" s="17" t="inlineStr">
        <is>
          <t>Ask / Seasonal</t>
        </is>
      </c>
    </row>
    <row r="265">
      <c r="A265" s="15">
        <f>HYPERLINK("https://shoreaquatic.com/shop/wg-mhobpl4","Obedient Plant")</f>
        <v/>
      </c>
      <c r="B265" s="16" t="inlineStr">
        <is>
          <t>Physostegia leptophylla</t>
        </is>
      </c>
      <c r="C265" s="17" t="inlineStr">
        <is>
          <t>2\</t>
        </is>
      </c>
      <c r="D265" s="17" t="inlineStr">
        <is>
          <t>Ask / Seasonal</t>
        </is>
      </c>
    </row>
    <row r="266">
      <c r="A266" s="15">
        <f>HYPERLINK("https://shoreaquatic.com/shop/wg-mtpadw","Papyrus, Dwarf")</f>
        <v/>
      </c>
      <c r="B266" s="16" t="inlineStr">
        <is>
          <t>Cyperus haspan</t>
        </is>
      </c>
      <c r="C266" s="17" t="inlineStr">
        <is>
          <t>2\</t>
        </is>
      </c>
      <c r="D266" s="17" t="inlineStr">
        <is>
          <t>Ask / Seasonal</t>
        </is>
      </c>
    </row>
    <row r="267">
      <c r="A267" s="15">
        <f>HYPERLINK("https://shoreaquatic.com/shop/wg-mtpadw4","Papyrus, Dwarf")</f>
        <v/>
      </c>
      <c r="B267" s="16" t="inlineStr">
        <is>
          <t>Cyperus haspan</t>
        </is>
      </c>
      <c r="C267" s="17" t="inlineStr">
        <is>
          <t>2\</t>
        </is>
      </c>
      <c r="D267" s="17" t="inlineStr">
        <is>
          <t>Ask / Seasonal</t>
        </is>
      </c>
    </row>
    <row r="268">
      <c r="A268" s="15">
        <f>HYPERLINK("https://shoreaquatic.com/shop/wg-mtpadwgi","Papyrus, Dwarf Giant")</f>
        <v/>
      </c>
      <c r="B268" s="16" t="inlineStr">
        <is>
          <t>Cyperus percamenthus</t>
        </is>
      </c>
      <c r="C268" s="17" t="inlineStr">
        <is>
          <t>2\</t>
        </is>
      </c>
      <c r="D268" s="17" t="inlineStr">
        <is>
          <t>Ask / Seasonal</t>
        </is>
      </c>
    </row>
    <row r="269">
      <c r="A269" s="15">
        <f>HYPERLINK("https://shoreaquatic.com/shop/wg-mtpadwgi4","Papyrus, Dwarf Giant")</f>
        <v/>
      </c>
      <c r="B269" s="16" t="inlineStr">
        <is>
          <t>Cyperus percamemthus</t>
        </is>
      </c>
      <c r="C269" s="17" t="inlineStr">
        <is>
          <t>2\</t>
        </is>
      </c>
      <c r="D269" s="17" t="inlineStr">
        <is>
          <t>Ask / Seasonal</t>
        </is>
      </c>
    </row>
    <row r="270">
      <c r="A270" s="15">
        <f>HYPERLINK("https://shoreaquatic.com/shop/wg-mtpagi","Papyrus, Giant")</f>
        <v/>
      </c>
      <c r="B270" s="16" t="inlineStr">
        <is>
          <t>Cyperus papyrus</t>
        </is>
      </c>
      <c r="C270" s="17" t="inlineStr">
        <is>
          <t>2\</t>
        </is>
      </c>
      <c r="D270" s="17" t="inlineStr">
        <is>
          <t>Ask / Seasonal</t>
        </is>
      </c>
    </row>
    <row r="271">
      <c r="A271" s="15">
        <f>HYPERLINK("https://shoreaquatic.com/shop/wg-mtpagi4","Papyrus, Giant")</f>
        <v/>
      </c>
      <c r="B271" s="16" t="inlineStr">
        <is>
          <t>Cyperus papyrus</t>
        </is>
      </c>
      <c r="C271" s="17" t="inlineStr">
        <is>
          <t>2\</t>
        </is>
      </c>
      <c r="D271" s="17" t="inlineStr">
        <is>
          <t>Ask / Seasonal</t>
        </is>
      </c>
    </row>
    <row r="272">
      <c r="A272" s="15">
        <f>HYPERLINK("https://shoreaquatic.com/shop/wg-mtpame","Papyrus, Mexican")</f>
        <v/>
      </c>
      <c r="B272" s="16" t="inlineStr">
        <is>
          <t>Cyperus giganteus</t>
        </is>
      </c>
      <c r="C272" s="17" t="inlineStr">
        <is>
          <t>2\</t>
        </is>
      </c>
      <c r="D272" s="17" t="inlineStr">
        <is>
          <t>Ask / Seasonal</t>
        </is>
      </c>
    </row>
    <row r="273">
      <c r="A273" s="15">
        <f>HYPERLINK("https://shoreaquatic.com/shop/wg-mtpame4","Papyrus, Mexican")</f>
        <v/>
      </c>
      <c r="B273" s="16" t="inlineStr">
        <is>
          <t>Cyperus giganteus</t>
        </is>
      </c>
      <c r="C273" s="17" t="inlineStr">
        <is>
          <t>2\</t>
        </is>
      </c>
      <c r="D273" s="17" t="inlineStr">
        <is>
          <t>Ask / Seasonal</t>
        </is>
      </c>
    </row>
    <row r="274">
      <c r="A274" s="15">
        <f>HYPERLINK("https://shoreaquatic.com/shop/wg-mhpafe4","Parrot'S Feather")</f>
        <v/>
      </c>
      <c r="B274" s="16" t="inlineStr">
        <is>
          <t>Myriophyllum aquaticum</t>
        </is>
      </c>
      <c r="C274" s="17" t="inlineStr">
        <is>
          <t>2\</t>
        </is>
      </c>
      <c r="D274" s="17" t="inlineStr">
        <is>
          <t>Ask / Seasonal</t>
        </is>
      </c>
    </row>
    <row r="275">
      <c r="A275" s="15">
        <f>HYPERLINK("https://shoreaquatic.com/shop/wg-spafe","Parrot'S Feather")</f>
        <v/>
      </c>
      <c r="B275" s="16" t="inlineStr"/>
      <c r="C275" s="17" t="inlineStr">
        <is>
          <t>2\</t>
        </is>
      </c>
      <c r="D275" s="17" t="inlineStr">
        <is>
          <t>Ask / Seasonal</t>
        </is>
      </c>
    </row>
    <row r="276">
      <c r="A276" s="15">
        <f>HYPERLINK("https://shoreaquatic.com/shop/wg-spafed","Parrot'S Feather, Dwarf")</f>
        <v/>
      </c>
      <c r="B276" s="16" t="inlineStr"/>
      <c r="C276" s="17" t="inlineStr">
        <is>
          <t>2\</t>
        </is>
      </c>
      <c r="D276" s="17" t="inlineStr">
        <is>
          <t>Ask / Seasonal</t>
        </is>
      </c>
    </row>
    <row r="277">
      <c r="A277" s="15">
        <f>HYPERLINK("https://shoreaquatic.com/shop/wg-mtpeli","Peace Lily")</f>
        <v/>
      </c>
      <c r="B277" s="16" t="inlineStr">
        <is>
          <t>Spathiphyllum spp.</t>
        </is>
      </c>
      <c r="C277" s="17" t="inlineStr">
        <is>
          <t>2\</t>
        </is>
      </c>
      <c r="D277" s="17" t="inlineStr">
        <is>
          <t>Ask / Seasonal</t>
        </is>
      </c>
    </row>
    <row r="278">
      <c r="A278" s="15">
        <f>HYPERLINK("https://shoreaquatic.com/shop/wg-mhpibl4","Pickerel, Blue")</f>
        <v/>
      </c>
      <c r="B278" s="16" t="inlineStr">
        <is>
          <t>Pontederia cordata</t>
        </is>
      </c>
      <c r="C278" s="17" t="inlineStr">
        <is>
          <t>2\</t>
        </is>
      </c>
      <c r="D278" s="17" t="inlineStr">
        <is>
          <t>Ask / Seasonal</t>
        </is>
      </c>
    </row>
    <row r="279">
      <c r="A279" s="15">
        <f>HYPERLINK("https://shoreaquatic.com/shop/wg-mtpipi","Pickerel, Pink")</f>
        <v/>
      </c>
      <c r="B279" s="16" t="inlineStr">
        <is>
          <t>Pontederia spp.</t>
        </is>
      </c>
      <c r="C279" s="17" t="inlineStr">
        <is>
          <t>2\</t>
        </is>
      </c>
      <c r="D279" s="17" t="inlineStr">
        <is>
          <t>Ask / Seasonal</t>
        </is>
      </c>
    </row>
    <row r="280">
      <c r="A280" s="15">
        <f>HYPERLINK("https://shoreaquatic.com/shop/wg-mtrama","Radican, Marble Queen")</f>
        <v/>
      </c>
      <c r="B280" s="16" t="inlineStr">
        <is>
          <t>Echinodorus cordifolius 'Tropica Marble Queen'</t>
        </is>
      </c>
      <c r="C280" s="17" t="inlineStr">
        <is>
          <t>2\</t>
        </is>
      </c>
      <c r="D280" s="17" t="inlineStr">
        <is>
          <t>Ask / Seasonal</t>
        </is>
      </c>
    </row>
    <row r="281">
      <c r="A281" s="15">
        <f>HYPERLINK("https://shoreaquatic.com/shop/wg-mhrigrs4","Ribbon Grass, Strawberries And Cream")</f>
        <v/>
      </c>
      <c r="B281" s="16" t="inlineStr">
        <is>
          <t>Phalaris arundinacea 'Strawberries and Cream'</t>
        </is>
      </c>
      <c r="C281" s="17" t="inlineStr">
        <is>
          <t>2\</t>
        </is>
      </c>
      <c r="D281" s="17" t="inlineStr">
        <is>
          <t>Ask / Seasonal</t>
        </is>
      </c>
    </row>
    <row r="282">
      <c r="A282" s="15">
        <f>HYPERLINK("https://shoreaquatic.com/shop/wg-orotnl","Rotala No Weight")</f>
        <v/>
      </c>
      <c r="B282" s="16" t="inlineStr"/>
      <c r="C282" s="17" t="inlineStr">
        <is>
          <t>2\</t>
        </is>
      </c>
      <c r="D282" s="17" t="inlineStr">
        <is>
          <t>Ask / Seasonal</t>
        </is>
      </c>
    </row>
    <row r="283">
      <c r="A283" s="15">
        <f>HYPERLINK("https://shoreaquatic.com/shop/wg-mhrucor4","Rush, Corkscrew")</f>
        <v/>
      </c>
      <c r="B283" s="16" t="inlineStr">
        <is>
          <t>Juncus effusus spiralis</t>
        </is>
      </c>
      <c r="C283" s="17" t="inlineStr">
        <is>
          <t>2\</t>
        </is>
      </c>
      <c r="D283" s="17" t="inlineStr">
        <is>
          <t>Ask / Seasonal</t>
        </is>
      </c>
    </row>
    <row r="284">
      <c r="A284" s="15">
        <f>HYPERLINK("https://shoreaquatic.com/shop/wg-mhrucob4","Rush, Corkscrew Blue Medusa")</f>
        <v/>
      </c>
      <c r="B284" s="16" t="inlineStr">
        <is>
          <t>Juncus inflexus 'Afro'</t>
        </is>
      </c>
      <c r="C284" s="17" t="inlineStr">
        <is>
          <t>2\</t>
        </is>
      </c>
      <c r="D284" s="17" t="inlineStr">
        <is>
          <t>Ask / Seasonal</t>
        </is>
      </c>
    </row>
    <row r="285">
      <c r="A285" s="15">
        <f>HYPERLINK("https://shoreaquatic.com/shop/wg-mhruho4","Rush, Horsetail")</f>
        <v/>
      </c>
      <c r="B285" s="16" t="inlineStr">
        <is>
          <t>Equisetum hyemale</t>
        </is>
      </c>
      <c r="C285" s="17" t="inlineStr">
        <is>
          <t>2\</t>
        </is>
      </c>
      <c r="D285" s="17" t="inlineStr">
        <is>
          <t>Ask / Seasonal</t>
        </is>
      </c>
    </row>
    <row r="286">
      <c r="A286" s="15">
        <f>HYPERLINK("https://shoreaquatic.com/shop/wg-mhruhod4","Rush, Horsetail Dwarf")</f>
        <v/>
      </c>
      <c r="B286" s="16" t="inlineStr">
        <is>
          <t>Equisetum scirpoides</t>
        </is>
      </c>
      <c r="C286" s="17" t="inlineStr">
        <is>
          <t>2\</t>
        </is>
      </c>
      <c r="D286" s="17" t="inlineStr">
        <is>
          <t>Ask / Seasonal</t>
        </is>
      </c>
    </row>
    <row r="287">
      <c r="A287" s="15">
        <f>HYPERLINK("https://shoreaquatic.com/shop/wg-mhruwh4","Rush, White")</f>
        <v/>
      </c>
      <c r="B287" s="16" t="inlineStr">
        <is>
          <t>Schoenoplectus lacustris subsp. tabernae montani 'Albescens'</t>
        </is>
      </c>
      <c r="C287" s="17" t="inlineStr">
        <is>
          <t>2\</t>
        </is>
      </c>
      <c r="D287" s="17" t="inlineStr">
        <is>
          <t>Ask / Seasonal</t>
        </is>
      </c>
    </row>
    <row r="288">
      <c r="A288" s="15">
        <f>HYPERLINK("https://shoreaquatic.com/shop/wg-mhruze4","Rush, Zebra")</f>
        <v/>
      </c>
      <c r="B288" s="16" t="inlineStr">
        <is>
          <t>Schoenoplectus lacustris subsp. tabernae-montani 'Zebrinus'</t>
        </is>
      </c>
      <c r="C288" s="17" t="inlineStr">
        <is>
          <t>2\</t>
        </is>
      </c>
      <c r="D288" s="17" t="inlineStr">
        <is>
          <t>Ask / Seasonal</t>
        </is>
      </c>
    </row>
    <row r="289">
      <c r="A289" s="15">
        <f>HYPERLINK("https://shoreaquatic.com/shop/wg-mtsamo4","Sag. Montevidensis")</f>
        <v/>
      </c>
      <c r="B289" s="16" t="inlineStr">
        <is>
          <t>Sagittaria montevidensis</t>
        </is>
      </c>
      <c r="C289" s="17" t="inlineStr">
        <is>
          <t>2\</t>
        </is>
      </c>
      <c r="D289" s="17" t="inlineStr">
        <is>
          <t>Ask / Seasonal</t>
        </is>
      </c>
    </row>
    <row r="290">
      <c r="A290" s="15">
        <f>HYPERLINK("https://shoreaquatic.com/shop/wg-mtsamo","Sagittaria Montevidensis")</f>
        <v/>
      </c>
      <c r="B290" s="16" t="inlineStr">
        <is>
          <t>Sagittaria montevidensis</t>
        </is>
      </c>
      <c r="C290" s="17" t="inlineStr">
        <is>
          <t>2\</t>
        </is>
      </c>
      <c r="D290" s="17" t="inlineStr">
        <is>
          <t>Ask / Seasonal</t>
        </is>
      </c>
    </row>
    <row r="291">
      <c r="A291" s="15">
        <f>HYPERLINK("https://shoreaquatic.com/shop/wg-mhsacr4","Sagittaria, Crushed Ice")</f>
        <v/>
      </c>
      <c r="B291" s="16" t="inlineStr">
        <is>
          <t>Sagittaria graminea 'Crushed Ice'</t>
        </is>
      </c>
      <c r="C291" s="17" t="inlineStr">
        <is>
          <t>2\</t>
        </is>
      </c>
      <c r="D291" s="17" t="inlineStr">
        <is>
          <t>Ask / Seasonal</t>
        </is>
      </c>
    </row>
    <row r="292">
      <c r="A292" s="15">
        <f>HYPERLINK("https://shoreaquatic.com/shop/wg-mhsado4","Sagittaria, Dbl Flwr Arrowhead")</f>
        <v/>
      </c>
      <c r="B292" s="16" t="inlineStr">
        <is>
          <t>Sagittaria japonica</t>
        </is>
      </c>
      <c r="C292" s="17" t="inlineStr">
        <is>
          <t>2\</t>
        </is>
      </c>
      <c r="D292" s="17" t="inlineStr">
        <is>
          <t>Ask / Seasonal</t>
        </is>
      </c>
    </row>
    <row r="293">
      <c r="A293" s="15">
        <f>HYPERLINK("https://shoreaquatic.com/shop/wg-odwsa","Sagittaria, Dwarf Bunch")</f>
        <v/>
      </c>
      <c r="B293" s="16" t="inlineStr"/>
      <c r="C293" s="17" t="inlineStr">
        <is>
          <t>2\</t>
        </is>
      </c>
      <c r="D293" s="17" t="inlineStr">
        <is>
          <t>Ask / Seasonal</t>
        </is>
      </c>
    </row>
    <row r="294">
      <c r="A294" s="15">
        <f>HYPERLINK("https://shoreaquatic.com/shop/wg-ssal","Salvinia Portion")</f>
        <v/>
      </c>
      <c r="B294" s="16" t="inlineStr">
        <is>
          <t>Salvinia minima</t>
        </is>
      </c>
      <c r="C294" s="17" t="inlineStr">
        <is>
          <t>2\</t>
        </is>
      </c>
      <c r="D294" s="17" t="inlineStr">
        <is>
          <t>Ask / Seasonal</t>
        </is>
      </c>
    </row>
    <row r="295">
      <c r="A295" s="15">
        <f>HYPERLINK("https://shoreaquatic.com/shop/wg-ssalxl","Salvinia Portion Xl")</f>
        <v/>
      </c>
      <c r="B295" s="16" t="inlineStr">
        <is>
          <t>Salvinia minima</t>
        </is>
      </c>
      <c r="C295" s="17" t="inlineStr">
        <is>
          <t>2\</t>
        </is>
      </c>
      <c r="D295" s="17" t="inlineStr">
        <is>
          <t>Ask / Seasonal</t>
        </is>
      </c>
    </row>
    <row r="296">
      <c r="A296" s="15">
        <f>HYPERLINK("https://shoreaquatic.com/shop/wg-mtsnwhl","Snowflake, White Large")</f>
        <v/>
      </c>
      <c r="B296" s="16" t="inlineStr">
        <is>
          <t>Nymphoides indica</t>
        </is>
      </c>
      <c r="C296" s="17" t="inlineStr">
        <is>
          <t>2\</t>
        </is>
      </c>
      <c r="D296" s="17" t="inlineStr">
        <is>
          <t>Ask / Seasonal</t>
        </is>
      </c>
    </row>
    <row r="297">
      <c r="A297" s="15">
        <f>HYPERLINK("https://shoreaquatic.com/shop/wg-ssnwhl","Snowflake, White Large")</f>
        <v/>
      </c>
      <c r="B297" s="16" t="inlineStr"/>
      <c r="C297" s="17" t="inlineStr">
        <is>
          <t>2\</t>
        </is>
      </c>
      <c r="D297" s="17" t="inlineStr">
        <is>
          <t>Ask / Seasonal</t>
        </is>
      </c>
    </row>
    <row r="298">
      <c r="A298" s="15">
        <f>HYPERLINK("https://shoreaquatic.com/shop/wg-ssnwhv","Snowflake, White Variegated")</f>
        <v/>
      </c>
      <c r="B298" s="16" t="inlineStr"/>
      <c r="C298" s="17" t="inlineStr">
        <is>
          <t>2\</t>
        </is>
      </c>
      <c r="D298" s="17" t="inlineStr">
        <is>
          <t>Ask / Seasonal</t>
        </is>
      </c>
    </row>
    <row r="299">
      <c r="A299" s="15">
        <f>HYPERLINK("https://shoreaquatic.com/shop/wg-ssnye","Snowflake, Yellow")</f>
        <v/>
      </c>
      <c r="B299" s="16" t="inlineStr"/>
      <c r="C299" s="17" t="inlineStr">
        <is>
          <t>2\</t>
        </is>
      </c>
      <c r="D299" s="17" t="inlineStr">
        <is>
          <t>Ask / Seasonal</t>
        </is>
      </c>
    </row>
    <row r="300">
      <c r="A300" s="15">
        <f>HYPERLINK("https://shoreaquatic.com/shop/wg-mtsoga","Society Garlic")</f>
        <v/>
      </c>
      <c r="B300" s="16" t="inlineStr">
        <is>
          <t>Tulbaghia violacea</t>
        </is>
      </c>
      <c r="C300" s="17" t="inlineStr">
        <is>
          <t>2\</t>
        </is>
      </c>
      <c r="D300" s="17" t="inlineStr">
        <is>
          <t>Ask / Seasonal</t>
        </is>
      </c>
    </row>
    <row r="301">
      <c r="A301" s="15">
        <f>HYPERLINK("https://shoreaquatic.com/shop/wg-mtsoga4","Society Garlic")</f>
        <v/>
      </c>
      <c r="B301" s="16" t="inlineStr">
        <is>
          <t>Tulbaghia violacea</t>
        </is>
      </c>
      <c r="C301" s="17" t="inlineStr">
        <is>
          <t>2\</t>
        </is>
      </c>
      <c r="D301" s="17" t="inlineStr">
        <is>
          <t>Ask / Seasonal</t>
        </is>
      </c>
    </row>
    <row r="302">
      <c r="A302" s="15">
        <f>HYPERLINK("https://shoreaquatic.com/shop/wg-mtsogav","Society Garlic, Variegated")</f>
        <v/>
      </c>
      <c r="B302" s="16" t="inlineStr">
        <is>
          <t>Tulbaghia violacea 'Variegata'</t>
        </is>
      </c>
      <c r="C302" s="17" t="inlineStr">
        <is>
          <t>2\</t>
        </is>
      </c>
      <c r="D302" s="17" t="inlineStr">
        <is>
          <t>Ask / Seasonal</t>
        </is>
      </c>
    </row>
    <row r="303">
      <c r="A303" s="15">
        <f>HYPERLINK("https://shoreaquatic.com/shop/wg-mtsogav4","Society Garlic, Variegated")</f>
        <v/>
      </c>
      <c r="B303" s="16" t="inlineStr">
        <is>
          <t>Tulbaghia violacea 'Variegata'</t>
        </is>
      </c>
      <c r="C303" s="17" t="inlineStr">
        <is>
          <t>2\</t>
        </is>
      </c>
      <c r="D303" s="17" t="inlineStr">
        <is>
          <t>Ask / Seasonal</t>
        </is>
      </c>
    </row>
    <row r="304">
      <c r="A304" s="15">
        <f>HYPERLINK("https://shoreaquatic.com/shop/wg-mtspli","Spider Lily")</f>
        <v/>
      </c>
      <c r="B304" s="16" t="inlineStr">
        <is>
          <t>Hymenocallis latifolia</t>
        </is>
      </c>
      <c r="C304" s="17" t="inlineStr">
        <is>
          <t>2\</t>
        </is>
      </c>
      <c r="D304" s="17" t="inlineStr">
        <is>
          <t>Ask / Seasonal</t>
        </is>
      </c>
    </row>
    <row r="305">
      <c r="A305" s="15">
        <f>HYPERLINK("https://shoreaquatic.com/shop/wg-mtspli4","Spider Lily")</f>
        <v/>
      </c>
      <c r="B305" s="16" t="inlineStr">
        <is>
          <t>Hymenocallis latifolia</t>
        </is>
      </c>
      <c r="C305" s="17" t="inlineStr">
        <is>
          <t>2\</t>
        </is>
      </c>
      <c r="D305" s="17" t="inlineStr">
        <is>
          <t>Ask / Seasonal</t>
        </is>
      </c>
    </row>
    <row r="306">
      <c r="A306" s="15">
        <f>HYPERLINK("https://shoreaquatic.com/shop/wg-mtspliv","Spider Lily, Variegated")</f>
        <v/>
      </c>
      <c r="B306" s="16" t="inlineStr">
        <is>
          <t>Hymenocallis caribaea variegata</t>
        </is>
      </c>
      <c r="C306" s="17" t="inlineStr">
        <is>
          <t>2\</t>
        </is>
      </c>
      <c r="D306" s="17" t="inlineStr">
        <is>
          <t>Ask / Seasonal</t>
        </is>
      </c>
    </row>
    <row r="307">
      <c r="A307" s="15">
        <f>HYPERLINK("https://shoreaquatic.com/shop/wg-mtspliv4","Spider Lily, Variegated")</f>
        <v/>
      </c>
      <c r="B307" s="16" t="inlineStr">
        <is>
          <t>Hymenocallis caribaea variegata</t>
        </is>
      </c>
      <c r="C307" s="17" t="inlineStr">
        <is>
          <t>2\</t>
        </is>
      </c>
      <c r="D307" s="17" t="inlineStr">
        <is>
          <t>Ask / Seasonal</t>
        </is>
      </c>
    </row>
    <row r="308">
      <c r="A308" s="15">
        <f>HYPERLINK("https://shoreaquatic.com/shop/wg-mspdrl","Spider Wood Case - Lg")</f>
        <v/>
      </c>
      <c r="B308" s="16" t="inlineStr">
        <is>
          <t>Case of Spider wood 3 Pieces per case</t>
        </is>
      </c>
      <c r="C308" s="17" t="inlineStr">
        <is>
          <t>2\</t>
        </is>
      </c>
      <c r="D308" s="17" t="inlineStr">
        <is>
          <t>Ask / Seasonal</t>
        </is>
      </c>
    </row>
    <row r="309">
      <c r="A309" s="15">
        <f>HYPERLINK("https://shoreaquatic.com/shop/wg-mspdrm","Spider Wood Case - Md")</f>
        <v/>
      </c>
      <c r="B309" s="16" t="inlineStr">
        <is>
          <t>Case of Spider wood 8 Pieces per case</t>
        </is>
      </c>
      <c r="C309" s="17" t="inlineStr">
        <is>
          <t>2\</t>
        </is>
      </c>
      <c r="D309" s="17" t="inlineStr">
        <is>
          <t>Ask / Seasonal</t>
        </is>
      </c>
    </row>
    <row r="310">
      <c r="A310" s="15">
        <f>HYPERLINK("https://shoreaquatic.com/shop/wg-mtspjo","Spikerush, Jointed")</f>
        <v/>
      </c>
      <c r="B310" s="16" t="inlineStr">
        <is>
          <t>Eleocharis interstincta</t>
        </is>
      </c>
      <c r="C310" s="17" t="inlineStr">
        <is>
          <t>2\</t>
        </is>
      </c>
      <c r="D310" s="17" t="inlineStr">
        <is>
          <t>Ask / Seasonal</t>
        </is>
      </c>
    </row>
    <row r="311">
      <c r="A311" s="15">
        <f>HYPERLINK("https://shoreaquatic.com/shop/wg-mtstgr","Star Grass")</f>
        <v/>
      </c>
      <c r="B311" s="16" t="inlineStr">
        <is>
          <t>Rhynchospora colorata</t>
        </is>
      </c>
      <c r="C311" s="17" t="inlineStr">
        <is>
          <t>2\</t>
        </is>
      </c>
      <c r="D311" s="17" t="inlineStr">
        <is>
          <t>Ask / Seasonal</t>
        </is>
      </c>
    </row>
    <row r="312">
      <c r="A312" s="15">
        <f>HYPERLINK("https://shoreaquatic.com/shop/wg-mhswgo4","Sweetflag, Golden")</f>
        <v/>
      </c>
      <c r="B312" s="16" t="inlineStr">
        <is>
          <t>Acorus gramineus 'Ogon'</t>
        </is>
      </c>
      <c r="C312" s="17" t="inlineStr">
        <is>
          <t>2\</t>
        </is>
      </c>
      <c r="D312" s="17" t="inlineStr">
        <is>
          <t>Ask / Seasonal</t>
        </is>
      </c>
    </row>
    <row r="313">
      <c r="A313" s="15">
        <f>HYPERLINK("https://shoreaquatic.com/shop/wg-mhswva4","Sweetflag, Variegated")</f>
        <v/>
      </c>
      <c r="B313" s="16" t="inlineStr">
        <is>
          <t>Acorus calamus variegatus</t>
        </is>
      </c>
      <c r="C313" s="17" t="inlineStr">
        <is>
          <t>2\</t>
        </is>
      </c>
      <c r="D313" s="17" t="inlineStr">
        <is>
          <t>Ask / Seasonal</t>
        </is>
      </c>
    </row>
    <row r="314">
      <c r="A314" s="15">
        <f>HYPERLINK("https://shoreaquatic.com/shop/wg-mttablc","Taro, Black Coral")</f>
        <v/>
      </c>
      <c r="B314" s="16" t="inlineStr">
        <is>
          <t>Colocasia esculenta 'Black Coral'</t>
        </is>
      </c>
      <c r="C314" s="17" t="inlineStr">
        <is>
          <t>2\</t>
        </is>
      </c>
      <c r="D314" s="17" t="inlineStr">
        <is>
          <t>Ask / Seasonal</t>
        </is>
      </c>
    </row>
    <row r="315">
      <c r="A315" s="15">
        <f>HYPERLINK("https://shoreaquatic.com/shop/wg-mttabl","Taro, Black Magic")</f>
        <v/>
      </c>
      <c r="B315" s="16" t="inlineStr">
        <is>
          <t>Colocasia esculenta 'Black Magic'</t>
        </is>
      </c>
      <c r="C315" s="17" t="inlineStr">
        <is>
          <t>2\</t>
        </is>
      </c>
      <c r="D315" s="17" t="inlineStr">
        <is>
          <t>Ask / Seasonal</t>
        </is>
      </c>
    </row>
    <row r="316">
      <c r="A316" s="15">
        <f>HYPERLINK("https://shoreaquatic.com/shop/wg-mttabl4","Taro, Black Magic")</f>
        <v/>
      </c>
      <c r="B316" s="16" t="inlineStr">
        <is>
          <t>Colocasia esculenta var. 'Black Magic'</t>
        </is>
      </c>
      <c r="C316" s="17" t="inlineStr">
        <is>
          <t>2\</t>
        </is>
      </c>
      <c r="D316" s="17" t="inlineStr">
        <is>
          <t>Ask / Seasonal</t>
        </is>
      </c>
    </row>
    <row r="317">
      <c r="A317" s="15">
        <f>HYPERLINK("https://shoreaquatic.com/shop/wg-mttablm","Taro, Black Marble")</f>
        <v/>
      </c>
      <c r="B317" s="16" t="inlineStr">
        <is>
          <t>Colocasia esculenta 'Black Marble'</t>
        </is>
      </c>
      <c r="C317" s="17" t="inlineStr">
        <is>
          <t>2\</t>
        </is>
      </c>
      <c r="D317" s="17" t="inlineStr">
        <is>
          <t>Ask / Seasonal</t>
        </is>
      </c>
    </row>
    <row r="318">
      <c r="A318" s="15">
        <f>HYPERLINK("https://shoreaquatic.com/shop/wg-mttael","Taro, Elena")</f>
        <v/>
      </c>
      <c r="B318" s="16" t="inlineStr">
        <is>
          <t>Colocasia esculenta 'Elena'</t>
        </is>
      </c>
      <c r="C318" s="17" t="inlineStr">
        <is>
          <t>2\</t>
        </is>
      </c>
      <c r="D318" s="17" t="inlineStr">
        <is>
          <t>Ask / Seasonal</t>
        </is>
      </c>
    </row>
    <row r="319">
      <c r="A319" s="15">
        <f>HYPERLINK("https://shoreaquatic.com/shop/wg-mttagr","Taro, Green")</f>
        <v/>
      </c>
      <c r="B319" s="16" t="inlineStr">
        <is>
          <t>Colocasia esculenta</t>
        </is>
      </c>
      <c r="C319" s="17" t="inlineStr">
        <is>
          <t>2\</t>
        </is>
      </c>
      <c r="D319" s="17" t="inlineStr">
        <is>
          <t>Ask / Seasonal</t>
        </is>
      </c>
    </row>
    <row r="320">
      <c r="A320" s="15">
        <f>HYPERLINK("https://shoreaquatic.com/shop/wg-mttaim","Taro, Imperial")</f>
        <v/>
      </c>
      <c r="B320" s="16" t="inlineStr">
        <is>
          <t>Colocasia esculenta var. antiquorum</t>
        </is>
      </c>
      <c r="C320" s="17" t="inlineStr">
        <is>
          <t>2\</t>
        </is>
      </c>
      <c r="D320" s="17" t="inlineStr">
        <is>
          <t>Ask / Seasonal</t>
        </is>
      </c>
    </row>
    <row r="321">
      <c r="A321" s="15">
        <f>HYPERLINK("https://shoreaquatic.com/shop/wg-mttaim4","Taro, Imperial")</f>
        <v/>
      </c>
      <c r="B321" s="16" t="inlineStr">
        <is>
          <t>Colocasia esculenta var. antiquorum</t>
        </is>
      </c>
      <c r="C321" s="17" t="inlineStr">
        <is>
          <t>2\</t>
        </is>
      </c>
      <c r="D321" s="17" t="inlineStr">
        <is>
          <t>Ask / Seasonal</t>
        </is>
      </c>
    </row>
    <row r="322">
      <c r="A322" s="15">
        <f>HYPERLINK("https://shoreaquatic.com/shop/wg-mttate","Taro, Tea Cup")</f>
        <v/>
      </c>
      <c r="B322" s="16" t="inlineStr">
        <is>
          <t>Colocasia esculenta 'Tea Cup'</t>
        </is>
      </c>
      <c r="C322" s="17" t="inlineStr">
        <is>
          <t>2\</t>
        </is>
      </c>
      <c r="D322" s="17" t="inlineStr">
        <is>
          <t>Ask / Seasonal</t>
        </is>
      </c>
    </row>
    <row r="323">
      <c r="A323" s="15">
        <f>HYPERLINK("https://shoreaquatic.com/shop/wg-mttava4","Taro, Variegated")</f>
        <v/>
      </c>
      <c r="B323" s="16" t="inlineStr">
        <is>
          <t>'Alocasia amazonica 'Hilo Beauty'</t>
        </is>
      </c>
      <c r="C323" s="17" t="inlineStr">
        <is>
          <t>2\</t>
        </is>
      </c>
      <c r="D323" s="17" t="inlineStr">
        <is>
          <t>Ask / Seasonal</t>
        </is>
      </c>
    </row>
    <row r="324">
      <c r="A324" s="15">
        <f>HYPERLINK("https://shoreaquatic.com/shop/wg-mttavi","Taro, Violet Stem")</f>
        <v/>
      </c>
      <c r="B324" s="16" t="inlineStr">
        <is>
          <t>Colocasia esculenta var. 'Fontanesii'</t>
        </is>
      </c>
      <c r="C324" s="17" t="inlineStr">
        <is>
          <t>2\</t>
        </is>
      </c>
      <c r="D324" s="17" t="inlineStr">
        <is>
          <t>Ask / Seasonal</t>
        </is>
      </c>
    </row>
    <row r="325">
      <c r="A325" s="15">
        <f>HYPERLINK("https://shoreaquatic.com/shop/wg-mttavi4","Taro, Violet Stem")</f>
        <v/>
      </c>
      <c r="B325" s="16" t="inlineStr">
        <is>
          <t>Colocasia esculenta var. 'Fontanesii'</t>
        </is>
      </c>
      <c r="C325" s="17" t="inlineStr">
        <is>
          <t>2\</t>
        </is>
      </c>
      <c r="D325" s="17" t="inlineStr">
        <is>
          <t>Ask / Seasonal</t>
        </is>
      </c>
    </row>
    <row r="326">
      <c r="A326" s="15">
        <f>HYPERLINK("https://shoreaquatic.com/shop/wg-mttawh","Taro, White Lava")</f>
        <v/>
      </c>
      <c r="B326" s="16" t="inlineStr">
        <is>
          <t>Colocasia esculenta 'White Lava'</t>
        </is>
      </c>
      <c r="C326" s="17" t="inlineStr">
        <is>
          <t>2\</t>
        </is>
      </c>
      <c r="D326" s="17" t="inlineStr">
        <is>
          <t>Ask / Seasonal</t>
        </is>
      </c>
    </row>
    <row r="327">
      <c r="A327" s="15">
        <f>HYPERLINK("https://shoreaquatic.com/shop/wg-mtthre","Thalia Red Stem")</f>
        <v/>
      </c>
      <c r="B327" s="16" t="inlineStr">
        <is>
          <t>Thalia geniculata 'Ruminoides'</t>
        </is>
      </c>
      <c r="C327" s="17" t="inlineStr">
        <is>
          <t>2\</t>
        </is>
      </c>
      <c r="D327" s="17" t="inlineStr">
        <is>
          <t>Ask / Seasonal</t>
        </is>
      </c>
    </row>
    <row r="328">
      <c r="A328" s="15">
        <f>HYPERLINK("https://shoreaquatic.com/shop/wg-mtumpa","Umbrella Palm")</f>
        <v/>
      </c>
      <c r="B328" s="16" t="inlineStr">
        <is>
          <t>Cyperus alternifolius</t>
        </is>
      </c>
      <c r="C328" s="17" t="inlineStr">
        <is>
          <t>2\</t>
        </is>
      </c>
      <c r="D328" s="17" t="inlineStr">
        <is>
          <t>Ask / Seasonal</t>
        </is>
      </c>
    </row>
    <row r="329">
      <c r="A329" s="15">
        <f>HYPERLINK("https://shoreaquatic.com/shop/wg-mtumpa4","Umbrella Palm")</f>
        <v/>
      </c>
      <c r="B329" s="16" t="inlineStr">
        <is>
          <t>Cyperus alternifolius</t>
        </is>
      </c>
      <c r="C329" s="17" t="inlineStr">
        <is>
          <t>2\</t>
        </is>
      </c>
      <c r="D329" s="17" t="inlineStr">
        <is>
          <t>Ask / Seasonal</t>
        </is>
      </c>
    </row>
    <row r="330">
      <c r="A330" s="15">
        <f>HYPERLINK("https://shoreaquatic.com/shop/wg-mtumpad","Umbrella Palm, Dwarf")</f>
        <v/>
      </c>
      <c r="B330" s="16" t="inlineStr">
        <is>
          <t>Cyperus alternifolius 'Gracilis'</t>
        </is>
      </c>
      <c r="C330" s="17" t="inlineStr">
        <is>
          <t>2\</t>
        </is>
      </c>
      <c r="D330" s="17" t="inlineStr">
        <is>
          <t>Ask / Seasonal</t>
        </is>
      </c>
    </row>
    <row r="331">
      <c r="A331" s="15">
        <f>HYPERLINK("https://shoreaquatic.com/shop/wg-mtumpad4","Umbrella Palm, Dwarf")</f>
        <v/>
      </c>
      <c r="B331" s="16" t="inlineStr">
        <is>
          <t>Cyperus alternifolius 'Gracilis'</t>
        </is>
      </c>
      <c r="C331" s="17" t="inlineStr">
        <is>
          <t>2\</t>
        </is>
      </c>
      <c r="D331" s="17" t="inlineStr">
        <is>
          <t>Ask / Seasonal</t>
        </is>
      </c>
    </row>
    <row r="332">
      <c r="A332" s="15">
        <f>HYPERLINK("https://shoreaquatic.com/shop/wg-mtumpamd","Umbrella Palm, Medium")</f>
        <v/>
      </c>
      <c r="B332" s="16" t="inlineStr">
        <is>
          <t>Cyperus spp.</t>
        </is>
      </c>
      <c r="C332" s="17" t="inlineStr">
        <is>
          <t>2\</t>
        </is>
      </c>
      <c r="D332" s="17" t="inlineStr">
        <is>
          <t>Ask / Seasonal</t>
        </is>
      </c>
    </row>
    <row r="333">
      <c r="A333" s="15">
        <f>HYPERLINK("https://shoreaquatic.com/shop/wg-ovcor","Vallisneria, Corkscrew")</f>
        <v/>
      </c>
      <c r="B333" s="16" t="inlineStr"/>
      <c r="C333" s="17" t="inlineStr">
        <is>
          <t>2\</t>
        </is>
      </c>
      <c r="D333" s="17" t="inlineStr">
        <is>
          <t>Ask / Seasonal</t>
        </is>
      </c>
    </row>
    <row r="334">
      <c r="A334" s="15">
        <f>HYPERLINK("https://shoreaquatic.com/shop/wg-ojuva","Vallisneria, Jungle")</f>
        <v/>
      </c>
      <c r="B334" s="16" t="inlineStr"/>
      <c r="C334" s="17" t="inlineStr">
        <is>
          <t>2\</t>
        </is>
      </c>
      <c r="D334" s="17" t="inlineStr">
        <is>
          <t>Ask / Seasonal</t>
        </is>
      </c>
    </row>
    <row r="335">
      <c r="A335" s="15">
        <f>HYPERLINK("https://shoreaquatic.com/shop/wg-mhwacev4","Water Celery Varigated")</f>
        <v/>
      </c>
      <c r="B335" s="16" t="inlineStr">
        <is>
          <t>Oenanthe javanica 'Flamingo'</t>
        </is>
      </c>
      <c r="C335" s="17" t="inlineStr">
        <is>
          <t>2\</t>
        </is>
      </c>
      <c r="D335" s="17" t="inlineStr">
        <is>
          <t>Ask / Seasonal</t>
        </is>
      </c>
    </row>
    <row r="336">
      <c r="A336" s="15">
        <f>HYPERLINK("https://shoreaquatic.com/shop/wg-swahab","Water Hawth Bulb")</f>
        <v/>
      </c>
      <c r="B336" s="16" t="inlineStr">
        <is>
          <t>Aponogeton distachyos</t>
        </is>
      </c>
      <c r="C336" s="17" t="inlineStr">
        <is>
          <t>2\</t>
        </is>
      </c>
      <c r="D336" s="17" t="inlineStr">
        <is>
          <t>Ask / Seasonal</t>
        </is>
      </c>
    </row>
    <row r="337">
      <c r="A337" s="15">
        <f>HYPERLINK("https://shoreaquatic.com/shop/wg-mtwahips","Water Hibiscus, Pink Small")</f>
        <v/>
      </c>
      <c r="B337" s="16" t="inlineStr">
        <is>
          <t>Kosteletzkya virginica</t>
        </is>
      </c>
      <c r="C337" s="17" t="inlineStr">
        <is>
          <t>2\</t>
        </is>
      </c>
      <c r="D337" s="17" t="inlineStr">
        <is>
          <t>Ask / Seasonal</t>
        </is>
      </c>
    </row>
    <row r="338">
      <c r="A338" s="15">
        <f>HYPERLINK("https://shoreaquatic.com/shop/wg-mtwahir","Water Hibiscus, Red")</f>
        <v/>
      </c>
      <c r="B338" s="16" t="inlineStr">
        <is>
          <t>Hibiscus coccineus</t>
        </is>
      </c>
      <c r="C338" s="17" t="inlineStr">
        <is>
          <t>2\</t>
        </is>
      </c>
      <c r="D338" s="17" t="inlineStr">
        <is>
          <t>Ask / Seasonal</t>
        </is>
      </c>
    </row>
    <row r="339">
      <c r="A339" s="15">
        <f>HYPERLINK("https://shoreaquatic.com/shop/wg-mtwahir4","Water Hibiscus, Red")</f>
        <v/>
      </c>
      <c r="B339" s="16" t="inlineStr">
        <is>
          <t>Hibiscus coccineus</t>
        </is>
      </c>
      <c r="C339" s="17" t="inlineStr">
        <is>
          <t>2\</t>
        </is>
      </c>
      <c r="D339" s="17" t="inlineStr">
        <is>
          <t>Ask / Seasonal</t>
        </is>
      </c>
    </row>
    <row r="340">
      <c r="A340" s="15">
        <f>HYPERLINK("https://shoreaquatic.com/shop/wg-mtwahirn","Water Hibiscus, Red Night")</f>
        <v/>
      </c>
      <c r="B340" s="16" t="inlineStr">
        <is>
          <t>Hibiscus acetosella</t>
        </is>
      </c>
      <c r="C340" s="17" t="inlineStr">
        <is>
          <t>2\</t>
        </is>
      </c>
      <c r="D340" s="17" t="inlineStr">
        <is>
          <t>Ask / Seasonal</t>
        </is>
      </c>
    </row>
    <row r="341">
      <c r="A341" s="15">
        <f>HYPERLINK("https://shoreaquatic.com/shop/wg-mtwahirn4","Water Hibiscus, Red Night")</f>
        <v/>
      </c>
      <c r="B341" s="16" t="inlineStr">
        <is>
          <t>Hibiscus acetosella</t>
        </is>
      </c>
      <c r="C341" s="17" t="inlineStr">
        <is>
          <t>2\</t>
        </is>
      </c>
      <c r="D341" s="17" t="inlineStr">
        <is>
          <t>Ask / Seasonal</t>
        </is>
      </c>
    </row>
    <row r="342">
      <c r="A342" s="15">
        <f>HYPERLINK("https://shoreaquatic.com/shop/wg-mtwahiwl","Water Hibiscus, White Large")</f>
        <v/>
      </c>
      <c r="B342" s="16" t="inlineStr">
        <is>
          <t>Hibiscus moscheutos</t>
        </is>
      </c>
      <c r="C342" s="17" t="inlineStr">
        <is>
          <t>2\</t>
        </is>
      </c>
      <c r="D342" s="17" t="inlineStr">
        <is>
          <t>Ask / Seasonal</t>
        </is>
      </c>
    </row>
    <row r="343">
      <c r="A343" s="15">
        <f>HYPERLINK("https://shoreaquatic.com/shop/wg-swahyd","Water Hyacinth, Dwarf")</f>
        <v/>
      </c>
      <c r="B343" s="16" t="inlineStr"/>
      <c r="C343" s="17" t="inlineStr">
        <is>
          <t>2\</t>
        </is>
      </c>
      <c r="D343" s="17" t="inlineStr">
        <is>
          <t>Ask / Seasonal</t>
        </is>
      </c>
    </row>
    <row r="344">
      <c r="A344" s="15">
        <f>HYPERLINK("https://shoreaquatic.com/shop/wg-swahyf","Water Hyacinth, Florida")</f>
        <v/>
      </c>
      <c r="B344" s="16" t="inlineStr"/>
      <c r="C344" s="17" t="inlineStr">
        <is>
          <t>2\</t>
        </is>
      </c>
      <c r="D344" s="17" t="inlineStr">
        <is>
          <t>Ask / Seasonal</t>
        </is>
      </c>
    </row>
    <row r="345">
      <c r="A345" s="15">
        <f>HYPERLINK("https://shoreaquatic.com/shop/wg-mtwapo","Water Poppy")</f>
        <v/>
      </c>
      <c r="B345" s="16" t="inlineStr">
        <is>
          <t>Hydrocleys nymphoides</t>
        </is>
      </c>
      <c r="C345" s="17" t="inlineStr">
        <is>
          <t>2\</t>
        </is>
      </c>
      <c r="D345" s="17" t="inlineStr">
        <is>
          <t>Ask / Seasonal</t>
        </is>
      </c>
    </row>
    <row r="346">
      <c r="A346" s="15">
        <f>HYPERLINK("https://shoreaquatic.com/shop/wg-mtwapo4","Water Poppy")</f>
        <v/>
      </c>
      <c r="B346" s="16" t="inlineStr">
        <is>
          <t>Hydrocleys nymphoides</t>
        </is>
      </c>
      <c r="C346" s="17" t="inlineStr">
        <is>
          <t>2\</t>
        </is>
      </c>
      <c r="D346" s="17" t="inlineStr">
        <is>
          <t>Ask / Seasonal</t>
        </is>
      </c>
    </row>
    <row r="347">
      <c r="A347" s="15">
        <f>HYPERLINK("https://shoreaquatic.com/shop/wg-swapo","Water Poppy")</f>
        <v/>
      </c>
      <c r="B347" s="16" t="inlineStr"/>
      <c r="C347" s="17" t="inlineStr">
        <is>
          <t>2\</t>
        </is>
      </c>
      <c r="D347" s="17" t="inlineStr">
        <is>
          <t>Ask / Seasonal</t>
        </is>
      </c>
    </row>
    <row r="348">
      <c r="A348" s="15">
        <f>HYPERLINK("https://shoreaquatic.com/shop/wg-swasn","Water Snowball")</f>
        <v/>
      </c>
      <c r="B348" s="16" t="inlineStr"/>
      <c r="C348" s="17" t="inlineStr">
        <is>
          <t>2\</t>
        </is>
      </c>
      <c r="D348" s="17" t="inlineStr">
        <is>
          <t>Ask / Seasonal</t>
        </is>
      </c>
    </row>
    <row r="349">
      <c r="A349" s="15">
        <f>HYPERLINK("https://shoreaquatic.com/shop/wg-mtzeli","Zephyr Lily")</f>
        <v/>
      </c>
      <c r="B349" s="16" t="inlineStr">
        <is>
          <t>Zephyranthes candida</t>
        </is>
      </c>
      <c r="C349" s="17" t="inlineStr">
        <is>
          <t>2\</t>
        </is>
      </c>
      <c r="D349" s="17" t="inlineStr">
        <is>
          <t>Ask / Seasonal</t>
        </is>
      </c>
    </row>
    <row r="350">
      <c r="A350" s="15">
        <f>HYPERLINK("https://shoreaquatic.com/shop/wg-mtzeli4","Zephyr Lily")</f>
        <v/>
      </c>
      <c r="B350" s="16" t="inlineStr">
        <is>
          <t>Zephyranthes candida</t>
        </is>
      </c>
      <c r="C350" s="17" t="inlineStr">
        <is>
          <t>2\</t>
        </is>
      </c>
      <c r="D350" s="17" t="inlineStr">
        <is>
          <t>Ask / Seasonal</t>
        </is>
      </c>
    </row>
    <row r="351">
      <c r="A351" s="14" t="inlineStr">
        <is>
          <t xml:space="preserve">  Oxygenating Plant  (6)</t>
        </is>
      </c>
    </row>
    <row r="352">
      <c r="A352" s="15">
        <f>HYPERLINK("https://shoreaquatic.com/shop/wg-oanach","Anacharis.")</f>
        <v/>
      </c>
      <c r="B352" s="16" t="inlineStr"/>
      <c r="C352" s="17" t="inlineStr">
        <is>
          <t>Bunch</t>
        </is>
      </c>
      <c r="D352" s="17" t="inlineStr">
        <is>
          <t>Ask / Seasonal</t>
        </is>
      </c>
    </row>
    <row r="353">
      <c r="A353" s="15">
        <f>HYPERLINK("https://shoreaquatic.com/shop/wg-obale","Bacopa, Lemon")</f>
        <v/>
      </c>
      <c r="B353" s="16" t="inlineStr"/>
      <c r="C353" s="17" t="inlineStr">
        <is>
          <t>Bunch</t>
        </is>
      </c>
      <c r="D353" s="17" t="inlineStr">
        <is>
          <t>Ask / Seasonal</t>
        </is>
      </c>
    </row>
    <row r="354">
      <c r="A354" s="15">
        <f>HYPERLINK("https://shoreaquatic.com/shop/wg-ohor","Hornwort.")</f>
        <v/>
      </c>
      <c r="B354" s="16" t="inlineStr"/>
      <c r="C354" s="17" t="inlineStr">
        <is>
          <t>Bunch</t>
        </is>
      </c>
      <c r="D354" s="17" t="inlineStr">
        <is>
          <t>Ask / Seasonal</t>
        </is>
      </c>
    </row>
    <row r="355">
      <c r="A355" s="15">
        <f>HYPERLINK("https://shoreaquatic.com/shop/wg-olud","Ludwigia")</f>
        <v/>
      </c>
      <c r="B355" s="16" t="inlineStr"/>
      <c r="C355" s="17" t="inlineStr">
        <is>
          <t>Bunch</t>
        </is>
      </c>
      <c r="D355" s="17" t="inlineStr">
        <is>
          <t>Ask / Seasonal</t>
        </is>
      </c>
    </row>
    <row r="356">
      <c r="A356" s="15">
        <f>HYPERLINK("https://shoreaquatic.com/shop/wg-omon","Moneywort..")</f>
        <v/>
      </c>
      <c r="B356" s="16" t="inlineStr"/>
      <c r="C356" s="17" t="inlineStr">
        <is>
          <t>Bunch</t>
        </is>
      </c>
      <c r="D356" s="17" t="inlineStr">
        <is>
          <t>Ask / Seasonal</t>
        </is>
      </c>
    </row>
    <row r="357">
      <c r="A357" s="15">
        <f>HYPERLINK("https://shoreaquatic.com/shop/wg-orot","Rotala")</f>
        <v/>
      </c>
      <c r="B357" s="16" t="inlineStr"/>
      <c r="C357" s="17" t="inlineStr">
        <is>
          <t>Bunch</t>
        </is>
      </c>
      <c r="D357" s="17" t="inlineStr">
        <is>
          <t>Ask / Seasonal</t>
        </is>
      </c>
    </row>
    <row r="358">
      <c r="A358" s="14" t="inlineStr">
        <is>
          <t xml:space="preserve">  Specialty Lily  (12)</t>
        </is>
      </c>
    </row>
    <row r="359">
      <c r="A359" s="15">
        <f>HYPERLINK("https://shoreaquatic.com/shop/wg-hpudepu","Deep Purple")</f>
        <v/>
      </c>
      <c r="B359" s="16" t="inlineStr"/>
      <c r="C359" s="17" t="inlineStr">
        <is>
          <t>Medium (4-6 ft)</t>
        </is>
      </c>
      <c r="D359" s="17" t="inlineStr">
        <is>
          <t>Ask / Seasonal</t>
        </is>
      </c>
    </row>
    <row r="360">
      <c r="A360" s="15">
        <f>HYPERLINK("https://shoreaquatic.com/shop/wg-hpudeer","Detective Erika")</f>
        <v/>
      </c>
      <c r="B360" s="16" t="inlineStr"/>
      <c r="C360" s="17" t="inlineStr">
        <is>
          <t>Large (6+ ft)</t>
        </is>
      </c>
      <c r="D360" s="17" t="inlineStr">
        <is>
          <t>Ask / Seasonal</t>
        </is>
      </c>
    </row>
    <row r="361">
      <c r="A361" s="15">
        <f>HYPERLINK("https://shoreaquatic.com/shop/wg-hppisi","Pink Silk")</f>
        <v/>
      </c>
      <c r="B361" s="16" t="inlineStr"/>
      <c r="C361" s="17" t="inlineStr">
        <is>
          <t>Medium (4-6 ft)</t>
        </is>
      </c>
      <c r="D361" s="17" t="inlineStr">
        <is>
          <t>Ask / Seasonal</t>
        </is>
      </c>
    </row>
    <row r="362">
      <c r="A362" s="15">
        <f>HYPERLINK("https://shoreaquatic.com/shop/wg-hpupufa","Purple Fantasy Pp26530")</f>
        <v/>
      </c>
      <c r="B362" s="16" t="inlineStr"/>
      <c r="C362" s="17" t="inlineStr">
        <is>
          <t>Medium (4-6 ft)</t>
        </is>
      </c>
      <c r="D362" s="17" t="inlineStr">
        <is>
          <t>Ask / Seasonal</t>
        </is>
      </c>
    </row>
    <row r="363">
      <c r="A363" s="15">
        <f>HYPERLINK("https://shoreaquatic.com/shop/wg-hpuqusi","Queen Sirikit")</f>
        <v/>
      </c>
      <c r="B363" s="16" t="inlineStr"/>
      <c r="C363" s="17" t="inlineStr">
        <is>
          <t>Medium (4-6 ft)</t>
        </is>
      </c>
      <c r="D363" s="17" t="inlineStr">
        <is>
          <t>Ask / Seasonal</t>
        </is>
      </c>
    </row>
    <row r="364">
      <c r="A364" s="15">
        <f>HYPERLINK("https://shoreaquatic.com/shop/wg-hrsan","Sangria")</f>
        <v/>
      </c>
      <c r="B364" s="16" t="inlineStr"/>
      <c r="C364" s="17" t="inlineStr">
        <is>
          <t>Medium (4-6 ft)</t>
        </is>
      </c>
      <c r="D364" s="17" t="inlineStr">
        <is>
          <t>Ask / Seasonal</t>
        </is>
      </c>
    </row>
    <row r="365">
      <c r="A365" s="15">
        <f>HYPERLINK("https://shoreaquatic.com/shop/wg-hpusipu1","Siam Purple 1")</f>
        <v/>
      </c>
      <c r="B365" s="16" t="inlineStr"/>
      <c r="C365" s="17" t="inlineStr">
        <is>
          <t>Medium (4-6 ft)</t>
        </is>
      </c>
      <c r="D365" s="17" t="inlineStr">
        <is>
          <t>Ask / Seasonal</t>
        </is>
      </c>
    </row>
    <row r="366">
      <c r="A366" s="15">
        <f>HYPERLINK("https://shoreaquatic.com/shop/wg-hpusipu","Siam Purple 2")</f>
        <v/>
      </c>
      <c r="B366" s="16" t="inlineStr"/>
      <c r="C366" s="17" t="inlineStr">
        <is>
          <t>Medium (4-6 ft)</t>
        </is>
      </c>
      <c r="D366" s="17" t="inlineStr">
        <is>
          <t>Ask / Seasonal</t>
        </is>
      </c>
    </row>
    <row r="367">
      <c r="A367" s="15">
        <f>HYPERLINK("https://shoreaquatic.com/shop/wg-hptrst","Tropic Star")</f>
        <v/>
      </c>
      <c r="B367" s="16" t="inlineStr"/>
      <c r="C367" s="17" t="inlineStr">
        <is>
          <t>Medium (4-6 ft)</t>
        </is>
      </c>
      <c r="D367" s="17" t="inlineStr">
        <is>
          <t>Ask / Seasonal</t>
        </is>
      </c>
    </row>
    <row r="368">
      <c r="A368" s="15">
        <f>HYPERLINK("https://shoreaquatic.com/shop/wg-tvicam","Victoria Amazonica Lily")</f>
        <v/>
      </c>
      <c r="B368" s="16" t="inlineStr"/>
      <c r="C368" s="17" t="inlineStr">
        <is>
          <t>Specialty</t>
        </is>
      </c>
      <c r="D368" s="17" t="inlineStr">
        <is>
          <t>Ask / Seasonal</t>
        </is>
      </c>
    </row>
    <row r="369">
      <c r="A369" s="15">
        <f>HYPERLINK("https://shoreaquatic.com/shop/wg-tvic","Victoria Lily")</f>
        <v/>
      </c>
      <c r="B369" s="16" t="inlineStr">
        <is>
          <t>Victoria cruziana</t>
        </is>
      </c>
      <c r="C369" s="17" t="inlineStr"/>
      <c r="D369" s="17" t="inlineStr">
        <is>
          <t>Ask / Seasonal</t>
        </is>
      </c>
    </row>
    <row r="370">
      <c r="A370" s="15">
        <f>HYPERLINK("https://shoreaquatic.com/shop/wg-hpuvio","Violicious")</f>
        <v/>
      </c>
      <c r="B370" s="16" t="inlineStr"/>
      <c r="C370" s="17" t="inlineStr">
        <is>
          <t>Medium (4-6 ft)</t>
        </is>
      </c>
      <c r="D370" s="17" t="inlineStr">
        <is>
          <t>Ask / Seasonal</t>
        </is>
      </c>
    </row>
    <row r="371">
      <c r="A371" s="14" t="inlineStr">
        <is>
          <t xml:space="preserve">  Tropical Lily - Autumn Shades  (5)</t>
        </is>
      </c>
    </row>
    <row r="372">
      <c r="A372" s="15">
        <f>HYPERLINK("https://shoreaquatic.com/shop/wg-taaft","Afterglow")</f>
        <v/>
      </c>
      <c r="B372" s="16" t="inlineStr"/>
      <c r="C372" s="17" t="inlineStr">
        <is>
          <t>Medium (4-6 ft)</t>
        </is>
      </c>
      <c r="D372" s="17" t="inlineStr">
        <is>
          <t>Ask / Seasonal</t>
        </is>
      </c>
    </row>
    <row r="373">
      <c r="A373" s="15">
        <f>HYPERLINK("https://shoreaquatic.com/shop/wg-taalgr","Albert Greenberg")</f>
        <v/>
      </c>
      <c r="B373" s="16" t="inlineStr"/>
      <c r="C373" s="17" t="inlineStr">
        <is>
          <t>Medium (4-6 ft)</t>
        </is>
      </c>
      <c r="D373" s="17" t="inlineStr">
        <is>
          <t>Ask / Seasonal</t>
        </is>
      </c>
    </row>
    <row r="374">
      <c r="A374" s="15">
        <f>HYPERLINK("https://shoreaquatic.com/shop/wg-tacosk","Coral Sky")</f>
        <v/>
      </c>
      <c r="B374" s="16" t="inlineStr"/>
      <c r="C374" s="17" t="inlineStr">
        <is>
          <t>Medium (4-6 ft)</t>
        </is>
      </c>
      <c r="D374" s="17" t="inlineStr">
        <is>
          <t>Ask / Seasonal</t>
        </is>
      </c>
    </row>
    <row r="375">
      <c r="A375" s="15">
        <f>HYPERLINK("https://shoreaquatic.com/shop/wg-takewe","Key West")</f>
        <v/>
      </c>
      <c r="B375" s="16" t="inlineStr"/>
      <c r="C375" s="17" t="inlineStr">
        <is>
          <t>Medium (4-6 ft)</t>
        </is>
      </c>
      <c r="D375" s="17" t="inlineStr">
        <is>
          <t>Ask / Seasonal</t>
        </is>
      </c>
    </row>
    <row r="376">
      <c r="A376" s="15">
        <f>HYPERLINK("https://shoreaquatic.com/shop/wg-tatrsu","Tropic Sunset")</f>
        <v/>
      </c>
      <c r="B376" s="16" t="inlineStr"/>
      <c r="C376" s="17" t="inlineStr">
        <is>
          <t>Medium (4-6 ft)</t>
        </is>
      </c>
      <c r="D376" s="17" t="inlineStr">
        <is>
          <t>Ask / Seasonal</t>
        </is>
      </c>
    </row>
    <row r="377">
      <c r="A377" s="14" t="inlineStr">
        <is>
          <t xml:space="preserve">  Tropical Lily - Blue  (18)</t>
        </is>
      </c>
    </row>
    <row r="378">
      <c r="A378" s="15">
        <f>HYPERLINK("https://shoreaquatic.com/shop/wg-tbass","Assorted Blue")</f>
        <v/>
      </c>
      <c r="B378" s="16" t="inlineStr"/>
      <c r="C378" s="17" t="inlineStr"/>
      <c r="D378" s="17" t="inlineStr">
        <is>
          <t>Ask / Seasonal</t>
        </is>
      </c>
    </row>
    <row r="379">
      <c r="A379" s="15">
        <f>HYPERLINK("https://shoreaquatic.com/shop/wg-tbauko","August Koch")</f>
        <v/>
      </c>
      <c r="B379" s="16" t="inlineStr"/>
      <c r="C379" s="17" t="inlineStr">
        <is>
          <t>Medium (4-6 ft)</t>
        </is>
      </c>
      <c r="D379" s="17" t="inlineStr">
        <is>
          <t>Ask / Seasonal</t>
        </is>
      </c>
    </row>
    <row r="380">
      <c r="A380" s="15">
        <f>HYPERLINK("https://shoreaquatic.com/shop/wg-tbava","Avalanche")</f>
        <v/>
      </c>
      <c r="B380" s="16" t="inlineStr"/>
      <c r="C380" s="17" t="inlineStr">
        <is>
          <t>Large (6+ ft)</t>
        </is>
      </c>
      <c r="D380" s="17" t="inlineStr">
        <is>
          <t>Ask / Seasonal</t>
        </is>
      </c>
    </row>
    <row r="381">
      <c r="A381" s="15">
        <f>HYPERLINK("https://shoreaquatic.com/shop/wg-tbbag","Bagdad")</f>
        <v/>
      </c>
      <c r="B381" s="16" t="inlineStr"/>
      <c r="C381" s="17" t="inlineStr">
        <is>
          <t>Medium (4-6 ft)</t>
        </is>
      </c>
      <c r="D381" s="17" t="inlineStr">
        <is>
          <t>Ask / Seasonal</t>
        </is>
      </c>
    </row>
    <row r="382">
      <c r="A382" s="15">
        <f>HYPERLINK("https://shoreaquatic.com/shop/wg-tbblas","Blue Aster")</f>
        <v/>
      </c>
      <c r="B382" s="16" t="inlineStr"/>
      <c r="C382" s="17" t="inlineStr">
        <is>
          <t>Medium (4-6 ft)</t>
        </is>
      </c>
      <c r="D382" s="17" t="inlineStr">
        <is>
          <t>Ask / Seasonal</t>
        </is>
      </c>
    </row>
    <row r="383">
      <c r="A383" s="15">
        <f>HYPERLINK("https://shoreaquatic.com/shop/wg-tbblbe","Blue Beauty")</f>
        <v/>
      </c>
      <c r="B383" s="16" t="inlineStr"/>
      <c r="C383" s="17" t="inlineStr">
        <is>
          <t>Medium (4-6 ft)</t>
        </is>
      </c>
      <c r="D383" s="17" t="inlineStr">
        <is>
          <t>Ask / Seasonal</t>
        </is>
      </c>
    </row>
    <row r="384">
      <c r="A384" s="15">
        <f>HYPERLINK("https://shoreaquatic.com/shop/wg-tbblca","Blue Capensis")</f>
        <v/>
      </c>
      <c r="B384" s="16" t="inlineStr"/>
      <c r="C384" s="17" t="inlineStr">
        <is>
          <t>Medium (4-6 ft)</t>
        </is>
      </c>
      <c r="D384" s="17" t="inlineStr">
        <is>
          <t>Ask / Seasonal</t>
        </is>
      </c>
    </row>
    <row r="385">
      <c r="A385" s="15">
        <f>HYPERLINK("https://shoreaquatic.com/shop/wg-tbblsp","Blue Spider")</f>
        <v/>
      </c>
      <c r="B385" s="16" t="inlineStr"/>
      <c r="C385" s="17" t="inlineStr">
        <is>
          <t>Medium (4-6 ft)</t>
        </is>
      </c>
      <c r="D385" s="17" t="inlineStr">
        <is>
          <t>Ask / Seasonal</t>
        </is>
      </c>
    </row>
    <row r="386">
      <c r="A386" s="15">
        <f>HYPERLINK("https://shoreaquatic.com/shop/wg-tbcae","Caerulea")</f>
        <v/>
      </c>
      <c r="B386" s="16" t="inlineStr"/>
      <c r="C386" s="17" t="inlineStr">
        <is>
          <t>Medium (4-6 ft)</t>
        </is>
      </c>
      <c r="D386" s="17" t="inlineStr">
        <is>
          <t>Ask / Seasonal</t>
        </is>
      </c>
    </row>
    <row r="387">
      <c r="A387" s="15">
        <f>HYPERLINK("https://shoreaquatic.com/shop/wg-tbcol","Colorata")</f>
        <v/>
      </c>
      <c r="B387" s="16" t="inlineStr"/>
      <c r="C387" s="17" t="inlineStr">
        <is>
          <t>Small (2-4 ft)</t>
        </is>
      </c>
      <c r="D387" s="17" t="inlineStr">
        <is>
          <t>Ask / Seasonal</t>
        </is>
      </c>
    </row>
    <row r="388">
      <c r="A388" s="15">
        <f>HYPERLINK("https://shoreaquatic.com/shop/wg-tbdau","Dauben")</f>
        <v/>
      </c>
      <c r="B388" s="16" t="inlineStr"/>
      <c r="C388" s="17" t="inlineStr">
        <is>
          <t>Medium (4-6 ft)</t>
        </is>
      </c>
      <c r="D388" s="17" t="inlineStr">
        <is>
          <t>Ask / Seasonal</t>
        </is>
      </c>
    </row>
    <row r="389">
      <c r="A389" s="15">
        <f>HYPERLINK("https://shoreaquatic.com/shop/wg-tblafr","Laura Frase")</f>
        <v/>
      </c>
      <c r="B389" s="16" t="inlineStr"/>
      <c r="C389" s="17" t="inlineStr">
        <is>
          <t>Medium (4-6 ft)</t>
        </is>
      </c>
      <c r="D389" s="17" t="inlineStr">
        <is>
          <t>Ask / Seasonal</t>
        </is>
      </c>
    </row>
    <row r="390">
      <c r="A390" s="15">
        <f>HYPERLINK("https://shoreaquatic.com/shop/wg-tbleo","Leopardess")</f>
        <v/>
      </c>
      <c r="B390" s="16" t="inlineStr"/>
      <c r="C390" s="17" t="inlineStr">
        <is>
          <t>Medium (4-6 ft)</t>
        </is>
      </c>
      <c r="D390" s="17" t="inlineStr">
        <is>
          <t>Ask / Seasonal</t>
        </is>
      </c>
    </row>
    <row r="391">
      <c r="A391" s="15">
        <f>HYPERLINK("https://shoreaquatic.com/shop/wg-tbmama","Margaret Mary")</f>
        <v/>
      </c>
      <c r="B391" s="16" t="inlineStr"/>
      <c r="C391" s="17" t="inlineStr">
        <is>
          <t>Medium (4-6 ft)</t>
        </is>
      </c>
      <c r="D391" s="17" t="inlineStr">
        <is>
          <t>Ask / Seasonal</t>
        </is>
      </c>
    </row>
    <row r="392">
      <c r="A392" s="15">
        <f>HYPERLINK("https://shoreaquatic.com/shop/wg-tbpam","Pamela")</f>
        <v/>
      </c>
      <c r="B392" s="16" t="inlineStr"/>
      <c r="C392" s="17" t="inlineStr">
        <is>
          <t>Medium (4-6 ft)</t>
        </is>
      </c>
      <c r="D392" s="17" t="inlineStr">
        <is>
          <t>Ask / Seasonal</t>
        </is>
      </c>
    </row>
    <row r="393">
      <c r="A393" s="15">
        <f>HYPERLINK("https://shoreaquatic.com/shop/wg-tbstof","Star Of Siam")</f>
        <v/>
      </c>
      <c r="B393" s="16" t="inlineStr"/>
      <c r="C393" s="17" t="inlineStr">
        <is>
          <t>Medium (4-6 ft)</t>
        </is>
      </c>
      <c r="D393" s="17" t="inlineStr">
        <is>
          <t>Ask / Seasonal</t>
        </is>
      </c>
    </row>
    <row r="394">
      <c r="A394" s="15">
        <f>HYPERLINK("https://shoreaquatic.com/shop/wg-tbstza","Star Of Zanzibar")</f>
        <v/>
      </c>
      <c r="B394" s="16" t="inlineStr"/>
      <c r="C394" s="17" t="inlineStr">
        <is>
          <t>Medium (4-6 ft)</t>
        </is>
      </c>
      <c r="D394" s="17" t="inlineStr">
        <is>
          <t>Ask / Seasonal</t>
        </is>
      </c>
    </row>
    <row r="395">
      <c r="A395" s="15">
        <f>HYPERLINK("https://shoreaquatic.com/shop/wg-tbwobl","Wood'S Blue Goddess")</f>
        <v/>
      </c>
      <c r="B395" s="16" t="inlineStr"/>
      <c r="C395" s="17" t="inlineStr">
        <is>
          <t>Large (6+ ft)</t>
        </is>
      </c>
      <c r="D395" s="17" t="inlineStr">
        <is>
          <t>Ask / Seasonal</t>
        </is>
      </c>
    </row>
    <row r="396">
      <c r="A396" s="14" t="inlineStr">
        <is>
          <t xml:space="preserve">  Tropical Lily - Blue/Green  (3)</t>
        </is>
      </c>
    </row>
    <row r="397">
      <c r="A397" s="15">
        <f>HYPERLINK("https://shoreaquatic.com/shop/wg-tggrsm","Green Smoke")</f>
        <v/>
      </c>
      <c r="B397" s="16" t="inlineStr"/>
      <c r="C397" s="17" t="inlineStr">
        <is>
          <t>Medium (4-6 ft)</t>
        </is>
      </c>
      <c r="D397" s="17" t="inlineStr">
        <is>
          <t>Ask / Seasonal</t>
        </is>
      </c>
    </row>
    <row r="398">
      <c r="A398" s="15">
        <f>HYPERLINK("https://shoreaquatic.com/shop/wg-tgmoo","Moonbeam")</f>
        <v/>
      </c>
      <c r="B398" s="16" t="inlineStr"/>
      <c r="C398" s="17" t="inlineStr">
        <is>
          <t>Medium (4-6 ft)</t>
        </is>
      </c>
      <c r="D398" s="17" t="inlineStr">
        <is>
          <t>Ask / Seasonal</t>
        </is>
      </c>
    </row>
    <row r="399">
      <c r="A399" s="15">
        <f>HYPERLINK("https://shoreaquatic.com/shop/wg-tgsoch","Southern Charm")</f>
        <v/>
      </c>
      <c r="B399" s="16" t="inlineStr"/>
      <c r="C399" s="17" t="inlineStr">
        <is>
          <t>Medium (4-6 ft)</t>
        </is>
      </c>
      <c r="D399" s="17" t="inlineStr">
        <is>
          <t>Ask / Seasonal</t>
        </is>
      </c>
    </row>
    <row r="400">
      <c r="A400" s="14" t="inlineStr">
        <is>
          <t xml:space="preserve">  Tropical Lily - Lavender  (2)</t>
        </is>
      </c>
    </row>
    <row r="401">
      <c r="A401" s="15">
        <f>HYPERLINK("https://shoreaquatic.com/shop/wg-tlkela","Key Largo")</f>
        <v/>
      </c>
      <c r="B401" s="16" t="inlineStr"/>
      <c r="C401" s="17" t="inlineStr">
        <is>
          <t>Medium (4-6 ft)</t>
        </is>
      </c>
      <c r="D401" s="17" t="inlineStr">
        <is>
          <t>Ask / Seasonal</t>
        </is>
      </c>
    </row>
    <row r="402">
      <c r="A402" s="15">
        <f>HYPERLINK("https://shoreaquatic.com/shop/wg-tlmmga","Mme Ganna Walska")</f>
        <v/>
      </c>
      <c r="B402" s="16" t="inlineStr"/>
      <c r="C402" s="17" t="inlineStr">
        <is>
          <t>Medium (4-6 ft)</t>
        </is>
      </c>
      <c r="D402" s="17" t="inlineStr">
        <is>
          <t>Ask / Seasonal</t>
        </is>
      </c>
    </row>
    <row r="403">
      <c r="A403" s="14" t="inlineStr">
        <is>
          <t xml:space="preserve">  Tropical Lily - Night Blooming Red  (1)</t>
        </is>
      </c>
    </row>
    <row r="404">
      <c r="A404" s="15">
        <f>HYPERLINK("https://shoreaquatic.com/shop/wg-tnrass","Assorted Red Night")</f>
        <v/>
      </c>
      <c r="B404" s="16" t="inlineStr"/>
      <c r="C404" s="17" t="inlineStr">
        <is>
          <t>Medium (4-6 ft)</t>
        </is>
      </c>
      <c r="D404" s="17" t="inlineStr">
        <is>
          <t>Ask / Seasonal</t>
        </is>
      </c>
    </row>
    <row r="405">
      <c r="A405" s="14" t="inlineStr">
        <is>
          <t xml:space="preserve">  Tropical Lily - Night/Pink  (4)</t>
        </is>
      </c>
    </row>
    <row r="406">
      <c r="A406" s="15">
        <f>HYPERLINK("https://shoreaquatic.com/shop/wg-tpmrem","E.G. Hutchings")</f>
        <v/>
      </c>
      <c r="B406" s="16" t="inlineStr"/>
      <c r="C406" s="17" t="inlineStr">
        <is>
          <t>Medium (4-6 ft)</t>
        </is>
      </c>
      <c r="D406" s="17" t="inlineStr">
        <is>
          <t>Ask / Seasonal</t>
        </is>
      </c>
    </row>
    <row r="407">
      <c r="A407" s="15">
        <f>HYPERLINK("https://shoreaquatic.com/shop/wg-tpmrge","Mrs. G.C. Hitchcock")</f>
        <v/>
      </c>
      <c r="B407" s="16" t="inlineStr"/>
      <c r="C407" s="17" t="inlineStr">
        <is>
          <t>Medium (4-6 ft)</t>
        </is>
      </c>
      <c r="D407" s="17" t="inlineStr">
        <is>
          <t>Ask / Seasonal</t>
        </is>
      </c>
    </row>
    <row r="408">
      <c r="A408" s="15">
        <f>HYPERLINK("https://shoreaquatic.com/shop/wg-tprode","Rosa De La Noche")</f>
        <v/>
      </c>
      <c r="B408" s="16" t="inlineStr"/>
      <c r="C408" s="17" t="inlineStr">
        <is>
          <t>Medium (4-6 ft)</t>
        </is>
      </c>
      <c r="D408" s="17" t="inlineStr">
        <is>
          <t>Ask / Seasonal</t>
        </is>
      </c>
    </row>
    <row r="409">
      <c r="A409" s="15">
        <f>HYPERLINK("https://shoreaquatic.com/shop/wg-tptesh","Texas Shell Pink")</f>
        <v/>
      </c>
      <c r="B409" s="16" t="inlineStr"/>
      <c r="C409" s="17" t="inlineStr">
        <is>
          <t>Medium (4-6 ft)</t>
        </is>
      </c>
      <c r="D409" s="17" t="inlineStr">
        <is>
          <t>Ask / Seasonal</t>
        </is>
      </c>
    </row>
    <row r="410">
      <c r="A410" s="14" t="inlineStr">
        <is>
          <t xml:space="preserve">  Tropical Lily - Night/Red  (4)</t>
        </is>
      </c>
    </row>
    <row r="411">
      <c r="A411" s="15">
        <f>HYPERLINK("https://shoreaquatic.com/shop/wg-trant","Antares")</f>
        <v/>
      </c>
      <c r="B411" s="16" t="inlineStr"/>
      <c r="C411" s="17" t="inlineStr">
        <is>
          <t>Medium (4-6 ft)</t>
        </is>
      </c>
      <c r="D411" s="17" t="inlineStr">
        <is>
          <t>Ask / Seasonal</t>
        </is>
      </c>
    </row>
    <row r="412">
      <c r="A412" s="15">
        <f>HYPERLINK("https://shoreaquatic.com/shop/wg-trjere","Jennifer Rebecca")</f>
        <v/>
      </c>
      <c r="B412" s="16" t="inlineStr"/>
      <c r="C412" s="17" t="inlineStr">
        <is>
          <t>Medium (4-6 ft)</t>
        </is>
      </c>
      <c r="D412" s="17" t="inlineStr">
        <is>
          <t>Ask / Seasonal</t>
        </is>
      </c>
    </row>
    <row r="413">
      <c r="A413" s="15">
        <f>HYPERLINK("https://shoreaquatic.com/shop/wg-trrecu","Red Cup")</f>
        <v/>
      </c>
      <c r="B413" s="16" t="inlineStr"/>
      <c r="C413" s="17" t="inlineStr">
        <is>
          <t>Medium (4-6 ft)</t>
        </is>
      </c>
      <c r="D413" s="17" t="inlineStr">
        <is>
          <t>Ask / Seasonal</t>
        </is>
      </c>
    </row>
    <row r="414">
      <c r="A414" s="15">
        <f>HYPERLINK("https://shoreaquatic.com/shop/wg-trrefl","Red Flare")</f>
        <v/>
      </c>
      <c r="B414" s="16" t="inlineStr"/>
      <c r="C414" s="17" t="inlineStr">
        <is>
          <t>Medium (4-6 ft)</t>
        </is>
      </c>
      <c r="D414" s="17" t="inlineStr">
        <is>
          <t>Ask / Seasonal</t>
        </is>
      </c>
    </row>
    <row r="415">
      <c r="A415" s="14" t="inlineStr">
        <is>
          <t xml:space="preserve">  Tropical Lily - Night/White  (4)</t>
        </is>
      </c>
    </row>
    <row r="416">
      <c r="A416" s="15">
        <f>HYPERLINK("https://shoreaquatic.com/shop/wg-twjun","Juno")</f>
        <v/>
      </c>
      <c r="B416" s="16" t="inlineStr"/>
      <c r="C416" s="17" t="inlineStr">
        <is>
          <t>Medium (4-6 ft)</t>
        </is>
      </c>
      <c r="D416" s="17" t="inlineStr">
        <is>
          <t>Ask / Seasonal</t>
        </is>
      </c>
    </row>
    <row r="417">
      <c r="A417" s="15">
        <f>HYPERLINK("https://shoreaquatic.com/shop/wg-twmis","Missouri")</f>
        <v/>
      </c>
      <c r="B417" s="16" t="inlineStr"/>
      <c r="C417" s="17" t="inlineStr">
        <is>
          <t>Large (6+ ft)</t>
        </is>
      </c>
      <c r="D417" s="17" t="inlineStr">
        <is>
          <t>Ask / Seasonal</t>
        </is>
      </c>
    </row>
    <row r="418">
      <c r="A418" s="15">
        <f>HYPERLINK("https://shoreaquatic.com/shop/wg-twtrsl","Trudy Slocum")</f>
        <v/>
      </c>
      <c r="B418" s="16" t="inlineStr"/>
      <c r="C418" s="17" t="inlineStr">
        <is>
          <t>Medium (4-6 ft)</t>
        </is>
      </c>
      <c r="D418" s="17" t="inlineStr">
        <is>
          <t>Ask / Seasonal</t>
        </is>
      </c>
    </row>
    <row r="419">
      <c r="A419" s="15">
        <f>HYPERLINK("https://shoreaquatic.com/shop/wg-twwowh","Wood'S White Knight")</f>
        <v/>
      </c>
      <c r="B419" s="16" t="inlineStr"/>
      <c r="C419" s="17" t="inlineStr">
        <is>
          <t>Medium (4-6 ft)</t>
        </is>
      </c>
      <c r="D419" s="17" t="inlineStr">
        <is>
          <t>Ask / Seasonal</t>
        </is>
      </c>
    </row>
    <row r="420">
      <c r="A420" s="14" t="inlineStr">
        <is>
          <t xml:space="preserve">  Tropical Lily - Pink  (9)</t>
        </is>
      </c>
    </row>
    <row r="421">
      <c r="A421" s="15">
        <f>HYPERLINK("https://shoreaquatic.com/shop/wg-tpiass","Assorted Pink.")</f>
        <v/>
      </c>
      <c r="B421" s="16" t="inlineStr"/>
      <c r="C421" s="17" t="inlineStr"/>
      <c r="D421" s="17" t="inlineStr">
        <is>
          <t>Ask / Seasonal</t>
        </is>
      </c>
    </row>
    <row r="422">
      <c r="A422" s="15">
        <f>HYPERLINK("https://shoreaquatic.com/shop/wg-tpevra","Evelyn Randig")</f>
        <v/>
      </c>
      <c r="B422" s="16" t="inlineStr"/>
      <c r="C422" s="17" t="inlineStr">
        <is>
          <t>Medium (4-6 ft)</t>
        </is>
      </c>
      <c r="D422" s="17" t="inlineStr">
        <is>
          <t>Ask / Seasonal</t>
        </is>
      </c>
    </row>
    <row r="423">
      <c r="A423" s="15">
        <f>HYPERLINK("https://shoreaquatic.com/shop/wg-tphopi","Hot Pink")</f>
        <v/>
      </c>
      <c r="B423" s="16" t="inlineStr"/>
      <c r="C423" s="17" t="inlineStr">
        <is>
          <t>Medium (4-6 ft)</t>
        </is>
      </c>
      <c r="D423" s="17" t="inlineStr">
        <is>
          <t>Ask / Seasonal</t>
        </is>
      </c>
    </row>
    <row r="424">
      <c r="A424" s="15">
        <f>HYPERLINK("https://shoreaquatic.com/shop/wg-tpkamc","Kathy Mclane")</f>
        <v/>
      </c>
      <c r="B424" s="16" t="inlineStr"/>
      <c r="C424" s="17" t="inlineStr">
        <is>
          <t>Medium (4-6 ft)</t>
        </is>
      </c>
      <c r="D424" s="17" t="inlineStr">
        <is>
          <t>Ask / Seasonal</t>
        </is>
      </c>
    </row>
    <row r="425">
      <c r="A425" s="15">
        <f>HYPERLINK("https://shoreaquatic.com/shop/wg-tpmiro","Miami Rose")</f>
        <v/>
      </c>
      <c r="B425" s="16" t="inlineStr"/>
      <c r="C425" s="17" t="inlineStr">
        <is>
          <t>Medium (4-6 ft)</t>
        </is>
      </c>
      <c r="D425" s="17" t="inlineStr">
        <is>
          <t>Ask / Seasonal</t>
        </is>
      </c>
    </row>
    <row r="426">
      <c r="A426" s="15">
        <f>HYPERLINK("https://shoreaquatic.com/shop/wg-tppetw","Peach Twist")</f>
        <v/>
      </c>
      <c r="B426" s="16" t="inlineStr"/>
      <c r="C426" s="17" t="inlineStr">
        <is>
          <t>Medium (4-6 ft)</t>
        </is>
      </c>
      <c r="D426" s="17" t="inlineStr">
        <is>
          <t>Ask / Seasonal</t>
        </is>
      </c>
    </row>
    <row r="427">
      <c r="A427" s="15">
        <f>HYPERLINK("https://shoreaquatic.com/shop/wg-tppica","Pink Capensis")</f>
        <v/>
      </c>
      <c r="B427" s="16" t="inlineStr"/>
      <c r="C427" s="17" t="inlineStr">
        <is>
          <t>Medium (4-6 ft)</t>
        </is>
      </c>
      <c r="D427" s="17" t="inlineStr">
        <is>
          <t>Ask / Seasonal</t>
        </is>
      </c>
    </row>
    <row r="428">
      <c r="A428" s="15">
        <f>HYPERLINK("https://shoreaquatic.com/shop/wg-tpquof","Queen Of Siam")</f>
        <v/>
      </c>
      <c r="B428" s="16" t="inlineStr"/>
      <c r="C428" s="17" t="inlineStr">
        <is>
          <t>Medium (4-6 ft)</t>
        </is>
      </c>
      <c r="D428" s="17" t="inlineStr">
        <is>
          <t>Ask / Seasonal</t>
        </is>
      </c>
    </row>
    <row r="429">
      <c r="A429" s="15">
        <f>HYPERLINK("https://shoreaquatic.com/shop/wg-tpshbr","Shirley Bryne")</f>
        <v/>
      </c>
      <c r="B429" s="16" t="inlineStr"/>
      <c r="C429" s="17" t="inlineStr">
        <is>
          <t>Medium (4-6 ft)</t>
        </is>
      </c>
      <c r="D429" s="17" t="inlineStr">
        <is>
          <t>Ask / Seasonal</t>
        </is>
      </c>
    </row>
    <row r="430">
      <c r="A430" s="14" t="inlineStr">
        <is>
          <t xml:space="preserve">  Tropical Lily - Purple  (19)</t>
        </is>
      </c>
    </row>
    <row r="431">
      <c r="A431" s="15">
        <f>HYPERLINK("https://shoreaquatic.com/shop/wg-tpale","Alexis Water Lily")</f>
        <v/>
      </c>
      <c r="B431" s="16" t="inlineStr"/>
      <c r="C431" s="17" t="inlineStr">
        <is>
          <t>Medium (4-6 ft)</t>
        </is>
      </c>
      <c r="D431" s="17" t="inlineStr">
        <is>
          <t>Ask / Seasonal</t>
        </is>
      </c>
    </row>
    <row r="432">
      <c r="A432" s="15">
        <f>HYPERLINK("https://shoreaquatic.com/shop/wg-tpammi","Amethyst Mist")</f>
        <v/>
      </c>
      <c r="B432" s="16" t="inlineStr"/>
      <c r="C432" s="17" t="inlineStr">
        <is>
          <t>Medium (4-6 ft)</t>
        </is>
      </c>
      <c r="D432" s="17" t="inlineStr">
        <is>
          <t>Ask / Seasonal</t>
        </is>
      </c>
    </row>
    <row r="433">
      <c r="A433" s="15">
        <f>HYPERLINK("https://shoreaquatic.com/shop/wg-tpuass","Assorted Purple")</f>
        <v/>
      </c>
      <c r="B433" s="16" t="inlineStr"/>
      <c r="C433" s="17" t="inlineStr"/>
      <c r="D433" s="17" t="inlineStr">
        <is>
          <t>Ask / Seasonal</t>
        </is>
      </c>
    </row>
    <row r="434">
      <c r="A434" s="15">
        <f>HYPERLINK("https://shoreaquatic.com/shop/wg-tpdige","Dir George T Moore")</f>
        <v/>
      </c>
      <c r="B434" s="16" t="inlineStr"/>
      <c r="C434" s="17" t="inlineStr">
        <is>
          <t>Medium (4-6 ft)</t>
        </is>
      </c>
      <c r="D434" s="17" t="inlineStr">
        <is>
          <t>Ask / Seasonal</t>
        </is>
      </c>
    </row>
    <row r="435">
      <c r="A435" s="15">
        <f>HYPERLINK("https://shoreaquatic.com/shop/wg-tpfox","Foxfire")</f>
        <v/>
      </c>
      <c r="B435" s="16" t="inlineStr"/>
      <c r="C435" s="17" t="inlineStr">
        <is>
          <t>Large (6+ ft)</t>
        </is>
      </c>
      <c r="D435" s="17" t="inlineStr">
        <is>
          <t>Ask / Seasonal</t>
        </is>
      </c>
    </row>
    <row r="436">
      <c r="A436" s="15">
        <f>HYPERLINK("https://shoreaquatic.com/shop/wg-tpisl","Islamorada")</f>
        <v/>
      </c>
      <c r="B436" s="16" t="inlineStr"/>
      <c r="C436" s="17" t="inlineStr">
        <is>
          <t>Medium (4-6 ft)</t>
        </is>
      </c>
      <c r="D436" s="17" t="inlineStr">
        <is>
          <t>Ask / Seasonal</t>
        </is>
      </c>
    </row>
    <row r="437">
      <c r="A437" s="15">
        <f>HYPERLINK("https://shoreaquatic.com/shop/wg-tpkiof","King Of Siam")</f>
        <v/>
      </c>
      <c r="B437" s="16" t="inlineStr"/>
      <c r="C437" s="17" t="inlineStr">
        <is>
          <t>Medium (4-6 ft)</t>
        </is>
      </c>
      <c r="D437" s="17" t="inlineStr">
        <is>
          <t>Ask / Seasonal</t>
        </is>
      </c>
    </row>
    <row r="438">
      <c r="A438" s="15">
        <f>HYPERLINK("https://shoreaquatic.com/shop/wg-tpliwo","Lindsey Woods")</f>
        <v/>
      </c>
      <c r="B438" s="16" t="inlineStr"/>
      <c r="C438" s="17" t="inlineStr">
        <is>
          <t>Medium (4-6 ft)</t>
        </is>
      </c>
      <c r="D438" s="17" t="inlineStr">
        <is>
          <t>Ask / Seasonal</t>
        </is>
      </c>
    </row>
    <row r="439">
      <c r="A439" s="15">
        <f>HYPERLINK("https://shoreaquatic.com/shop/wg-tpmid","Midnight")</f>
        <v/>
      </c>
      <c r="B439" s="16" t="inlineStr"/>
      <c r="C439" s="17" t="inlineStr">
        <is>
          <t>Medium (4-6 ft)</t>
        </is>
      </c>
      <c r="D439" s="17" t="inlineStr">
        <is>
          <t>Ask / Seasonal</t>
        </is>
      </c>
    </row>
    <row r="440">
      <c r="A440" s="15">
        <f>HYPERLINK("https://shoreaquatic.com/shop/wg-tpmise","Midnight Serenade")</f>
        <v/>
      </c>
      <c r="B440" s="16" t="inlineStr"/>
      <c r="C440" s="17" t="inlineStr">
        <is>
          <t>Large (6+ ft)</t>
        </is>
      </c>
      <c r="D440" s="17" t="inlineStr">
        <is>
          <t>Ask / Seasonal</t>
        </is>
      </c>
    </row>
    <row r="441">
      <c r="A441" s="15">
        <f>HYPERLINK("https://shoreaquatic.com/shop/wg-tpmoba","Morada Bay")</f>
        <v/>
      </c>
      <c r="B441" s="16" t="inlineStr"/>
      <c r="C441" s="17" t="inlineStr">
        <is>
          <t>Medium (4-6 ft)</t>
        </is>
      </c>
      <c r="D441" s="17" t="inlineStr">
        <is>
          <t>Ask / Seasonal</t>
        </is>
      </c>
    </row>
    <row r="442">
      <c r="A442" s="15">
        <f>HYPERLINK("https://shoreaquatic.com/shop/wg-tppapa","Panama Pacific")</f>
        <v/>
      </c>
      <c r="B442" s="16" t="inlineStr"/>
      <c r="C442" s="17" t="inlineStr">
        <is>
          <t>Medium (4-6 ft)</t>
        </is>
      </c>
      <c r="D442" s="17" t="inlineStr">
        <is>
          <t>Ask / Seasonal</t>
        </is>
      </c>
    </row>
    <row r="443">
      <c r="A443" s="15">
        <f>HYPERLINK("https://shoreaquatic.com/shop/wg-tpplcr","Plum Crazy")</f>
        <v/>
      </c>
      <c r="B443" s="16" t="inlineStr"/>
      <c r="C443" s="17" t="inlineStr">
        <is>
          <t>Medium (4-6 ft)</t>
        </is>
      </c>
      <c r="D443" s="17" t="inlineStr">
        <is>
          <t>Ask / Seasonal</t>
        </is>
      </c>
    </row>
    <row r="444">
      <c r="A444" s="15">
        <f>HYPERLINK("https://shoreaquatic.com/shop/wg-tppupa","Purple Passion")</f>
        <v/>
      </c>
      <c r="B444" s="16" t="inlineStr"/>
      <c r="C444" s="17" t="inlineStr">
        <is>
          <t>Medium (4-6 ft)</t>
        </is>
      </c>
      <c r="D444" s="17" t="inlineStr">
        <is>
          <t>Ask / Seasonal</t>
        </is>
      </c>
    </row>
    <row r="445">
      <c r="A445" s="15">
        <f>HYPERLINK("https://shoreaquatic.com/shop/wg-tprhka","Rhonda Kay")</f>
        <v/>
      </c>
      <c r="B445" s="16" t="inlineStr"/>
      <c r="C445" s="17" t="inlineStr">
        <is>
          <t>Medium (4-6 ft)</t>
        </is>
      </c>
      <c r="D445" s="17" t="inlineStr">
        <is>
          <t>Ask / Seasonal</t>
        </is>
      </c>
    </row>
    <row r="446">
      <c r="A446" s="15">
        <f>HYPERLINK("https://shoreaquatic.com/shop/wg-tptan","Tanzanite")</f>
        <v/>
      </c>
      <c r="B446" s="16" t="inlineStr"/>
      <c r="C446" s="17" t="inlineStr">
        <is>
          <t>Medium (4-6 ft)</t>
        </is>
      </c>
      <c r="D446" s="17" t="inlineStr">
        <is>
          <t>Ask / Seasonal</t>
        </is>
      </c>
    </row>
    <row r="447">
      <c r="A447" s="15">
        <f>HYPERLINK("https://shoreaquatic.com/shop/wg-tptin","Tina")</f>
        <v/>
      </c>
      <c r="B447" s="16" t="inlineStr"/>
      <c r="C447" s="17" t="inlineStr">
        <is>
          <t>Medium (4-6 ft)</t>
        </is>
      </c>
      <c r="D447" s="17" t="inlineStr">
        <is>
          <t>Ask / Seasonal</t>
        </is>
      </c>
    </row>
    <row r="448">
      <c r="A448" s="15">
        <f>HYPERLINK("https://shoreaquatic.com/shop/wg-tpulvi","Ultra Violet")</f>
        <v/>
      </c>
      <c r="B448" s="16" t="inlineStr"/>
      <c r="C448" s="17" t="inlineStr">
        <is>
          <t>Medium (4-6 ft)</t>
        </is>
      </c>
      <c r="D448" s="17" t="inlineStr">
        <is>
          <t>Ask / Seasonal</t>
        </is>
      </c>
    </row>
    <row r="449">
      <c r="A449" s="15">
        <f>HYPERLINK("https://shoreaquatic.com/shop/wg-tpwimc","William Mclane")</f>
        <v/>
      </c>
      <c r="B449" s="16" t="inlineStr"/>
      <c r="C449" s="17" t="inlineStr">
        <is>
          <t>Medium (4-6 ft)</t>
        </is>
      </c>
      <c r="D449" s="17" t="inlineStr">
        <is>
          <t>Ask / Seasonal</t>
        </is>
      </c>
    </row>
    <row r="450">
      <c r="A450" s="14" t="inlineStr">
        <is>
          <t xml:space="preserve">  Tropical Lily - Red  (9)</t>
        </is>
      </c>
    </row>
    <row r="451">
      <c r="A451" s="15">
        <f>HYPERLINK("https://shoreaquatic.com/shop/wg-trbuey","Bull'S Eye")</f>
        <v/>
      </c>
      <c r="B451" s="16" t="inlineStr"/>
      <c r="C451" s="17" t="inlineStr">
        <is>
          <t>Medium (4-6 ft)</t>
        </is>
      </c>
      <c r="D451" s="17" t="inlineStr">
        <is>
          <t>Ask / Seasonal</t>
        </is>
      </c>
    </row>
    <row r="452">
      <c r="A452" s="15">
        <f>HYPERLINK("https://shoreaquatic.com/shop/wg-trdoho","Doris Holt")</f>
        <v/>
      </c>
      <c r="B452" s="16" t="inlineStr"/>
      <c r="C452" s="17" t="inlineStr">
        <is>
          <t>Medium (4-6 ft)</t>
        </is>
      </c>
      <c r="D452" s="17" t="inlineStr">
        <is>
          <t>Ask / Seasonal</t>
        </is>
      </c>
    </row>
    <row r="453">
      <c r="A453" s="15">
        <f>HYPERLINK("https://shoreaquatic.com/shop/wg-trpesp","Peppermint Splash")</f>
        <v/>
      </c>
      <c r="B453" s="16" t="inlineStr"/>
      <c r="C453" s="17" t="inlineStr">
        <is>
          <t>Medium (4-6 ft)</t>
        </is>
      </c>
      <c r="D453" s="17" t="inlineStr">
        <is>
          <t>Ask / Seasonal</t>
        </is>
      </c>
    </row>
    <row r="454">
      <c r="A454" s="15">
        <f>HYPERLINK("https://shoreaquatic.com/shop/wg-trrene","Renegade 2")</f>
        <v/>
      </c>
      <c r="B454" s="16" t="inlineStr"/>
      <c r="C454" s="17" t="inlineStr">
        <is>
          <t>Medium (4-6 ft)</t>
        </is>
      </c>
      <c r="D454" s="17" t="inlineStr">
        <is>
          <t>Ask / Seasonal</t>
        </is>
      </c>
    </row>
    <row r="455">
      <c r="A455" s="15">
        <f>HYPERLINK("https://shoreaquatic.com/shop/wg-trrub","Ruby")</f>
        <v/>
      </c>
      <c r="B455" s="16" t="inlineStr"/>
      <c r="C455" s="17" t="inlineStr">
        <is>
          <t>Medium (4-6 ft)</t>
        </is>
      </c>
      <c r="D455" s="17" t="inlineStr">
        <is>
          <t>Ask / Seasonal</t>
        </is>
      </c>
    </row>
    <row r="456">
      <c r="A456" s="15">
        <f>HYPERLINK("https://shoreaquatic.com/shop/wg-trscfl","Scarlet Flame")</f>
        <v/>
      </c>
      <c r="B456" s="16" t="inlineStr"/>
      <c r="C456" s="17" t="inlineStr">
        <is>
          <t>Medium (4-6 ft)</t>
        </is>
      </c>
      <c r="D456" s="17" t="inlineStr">
        <is>
          <t>Ask / Seasonal</t>
        </is>
      </c>
    </row>
    <row r="457">
      <c r="A457" s="15">
        <f>HYPERLINK("https://shoreaquatic.com/shop/wg-trtrpu","Tropic Punch")</f>
        <v/>
      </c>
      <c r="B457" s="16" t="inlineStr"/>
      <c r="C457" s="17" t="inlineStr">
        <is>
          <t>Medium (4-6 ft)</t>
        </is>
      </c>
      <c r="D457" s="17" t="inlineStr">
        <is>
          <t>Ask / Seasonal</t>
        </is>
      </c>
    </row>
    <row r="458">
      <c r="A458" s="15">
        <f>HYPERLINK("https://shoreaquatic.com/shop/wg-trval","Valentine")</f>
        <v/>
      </c>
      <c r="B458" s="16" t="inlineStr"/>
      <c r="C458" s="17" t="inlineStr">
        <is>
          <t>Medium (4-6 ft)</t>
        </is>
      </c>
      <c r="D458" s="17" t="inlineStr">
        <is>
          <t>Ask / Seasonal</t>
        </is>
      </c>
    </row>
    <row r="459">
      <c r="A459" s="15">
        <f>HYPERLINK("https://shoreaquatic.com/shop/wg-trvimc","Virginia Mclane")</f>
        <v/>
      </c>
      <c r="B459" s="16" t="inlineStr"/>
      <c r="C459" s="17" t="inlineStr">
        <is>
          <t>Medium (4-6 ft)</t>
        </is>
      </c>
      <c r="D459" s="17" t="inlineStr">
        <is>
          <t>Ask / Seasonal</t>
        </is>
      </c>
    </row>
    <row r="460">
      <c r="A460" s="14" t="inlineStr">
        <is>
          <t xml:space="preserve">  Tropical Lily - White  (7)</t>
        </is>
      </c>
    </row>
    <row r="461">
      <c r="A461" s="15">
        <f>HYPERLINK("https://shoreaquatic.com/shop/wg-twass","Assorted T White")</f>
        <v/>
      </c>
      <c r="B461" s="16" t="inlineStr"/>
      <c r="C461" s="17" t="inlineStr"/>
      <c r="D461" s="17" t="inlineStr">
        <is>
          <t>Ask / Seasonal</t>
        </is>
      </c>
    </row>
    <row r="462">
      <c r="A462" s="15">
        <f>HYPERLINK("https://shoreaquatic.com/shop/wg-twcry","Crystal")</f>
        <v/>
      </c>
      <c r="B462" s="16" t="inlineStr"/>
      <c r="C462" s="17" t="inlineStr">
        <is>
          <t>Medium (4-6 ft)</t>
        </is>
      </c>
      <c r="D462" s="17" t="inlineStr">
        <is>
          <t>Ask / Seasonal</t>
        </is>
      </c>
    </row>
    <row r="463">
      <c r="A463" s="15">
        <f>HYPERLINK("https://shoreaquatic.com/shop/wg-twinn","Innocence")</f>
        <v/>
      </c>
      <c r="B463" s="16" t="inlineStr"/>
      <c r="C463" s="17" t="inlineStr">
        <is>
          <t>Medium (4-6 ft)</t>
        </is>
      </c>
      <c r="D463" s="17" t="inlineStr">
        <is>
          <t>Ask / Seasonal</t>
        </is>
      </c>
    </row>
    <row r="464">
      <c r="A464" s="15">
        <f>HYPERLINK("https://shoreaquatic.com/shop/wg-twjos","Josephine")</f>
        <v/>
      </c>
      <c r="B464" s="16" t="inlineStr"/>
      <c r="C464" s="17" t="inlineStr">
        <is>
          <t>Small (2-4 ft)</t>
        </is>
      </c>
      <c r="D464" s="17" t="inlineStr">
        <is>
          <t>Ask / Seasonal</t>
        </is>
      </c>
    </row>
    <row r="465">
      <c r="A465" s="15">
        <f>HYPERLINK("https://shoreaquatic.com/shop/wg-twmast","Marian Strawn")</f>
        <v/>
      </c>
      <c r="B465" s="16" t="inlineStr"/>
      <c r="C465" s="17" t="inlineStr">
        <is>
          <t>Large (6+ ft)</t>
        </is>
      </c>
      <c r="D465" s="17" t="inlineStr">
        <is>
          <t>Ask / Seasonal</t>
        </is>
      </c>
    </row>
    <row r="466">
      <c r="A466" s="15">
        <f>HYPERLINK("https://shoreaquatic.com/shop/wg-twpidu","Pixie Dust")</f>
        <v/>
      </c>
      <c r="B466" s="16" t="inlineStr"/>
      <c r="C466" s="17" t="inlineStr">
        <is>
          <t>Medium (4-6 ft)</t>
        </is>
      </c>
      <c r="D466" s="17" t="inlineStr">
        <is>
          <t>Ask / Seasonal</t>
        </is>
      </c>
    </row>
    <row r="467">
      <c r="A467" s="15">
        <f>HYPERLINK("https://shoreaquatic.com/shop/wg-twpujo","Purple Joy")</f>
        <v/>
      </c>
      <c r="B467" s="16" t="inlineStr"/>
      <c r="C467" s="17" t="inlineStr">
        <is>
          <t>Medium (4-6 ft)</t>
        </is>
      </c>
      <c r="D467" s="17" t="inlineStr">
        <is>
          <t>Ask / Seasonal</t>
        </is>
      </c>
    </row>
    <row r="468">
      <c r="A468" s="14" t="inlineStr">
        <is>
          <t xml:space="preserve">  Tropical Lily - Yellow  (6)</t>
        </is>
      </c>
    </row>
    <row r="469">
      <c r="A469" s="15">
        <f>HYPERLINK("https://shoreaquatic.com/shop/wg-tycaso","Carla'S Sonshine")</f>
        <v/>
      </c>
      <c r="B469" s="16" t="inlineStr"/>
      <c r="C469" s="17" t="inlineStr">
        <is>
          <t>Medium (4-6 ft)</t>
        </is>
      </c>
      <c r="D469" s="17" t="inlineStr">
        <is>
          <t>Ask / Seasonal</t>
        </is>
      </c>
    </row>
    <row r="470">
      <c r="A470" s="15">
        <f>HYPERLINK("https://shoreaquatic.com/shop/wg-tykeli","Key Lime")</f>
        <v/>
      </c>
      <c r="B470" s="16" t="inlineStr"/>
      <c r="C470" s="17" t="inlineStr">
        <is>
          <t>Medium (4-6 ft)</t>
        </is>
      </c>
      <c r="D470" s="17" t="inlineStr">
        <is>
          <t>Ask / Seasonal</t>
        </is>
      </c>
    </row>
    <row r="471">
      <c r="A471" s="15">
        <f>HYPERLINK("https://shoreaquatic.com/shop/wg-tyrapr","Rachel Presnell")</f>
        <v/>
      </c>
      <c r="B471" s="16" t="inlineStr"/>
      <c r="C471" s="17" t="inlineStr">
        <is>
          <t>Large (6+ ft)</t>
        </is>
      </c>
      <c r="D471" s="17" t="inlineStr">
        <is>
          <t>Ask / Seasonal</t>
        </is>
      </c>
    </row>
    <row r="472">
      <c r="A472" s="15">
        <f>HYPERLINK("https://shoreaquatic.com/shop/wg-tystlo","St Louis Gold")</f>
        <v/>
      </c>
      <c r="B472" s="16" t="inlineStr"/>
      <c r="C472" s="17" t="inlineStr">
        <is>
          <t>Medium (4-6 ft)</t>
        </is>
      </c>
      <c r="D472" s="17" t="inlineStr">
        <is>
          <t>Ask / Seasonal</t>
        </is>
      </c>
    </row>
    <row r="473">
      <c r="A473" s="15">
        <f>HYPERLINK("https://shoreaquatic.com/shop/wg-tystsk","Stan Skinger")</f>
        <v/>
      </c>
      <c r="B473" s="16" t="inlineStr"/>
      <c r="C473" s="17" t="inlineStr">
        <is>
          <t>Medium (4-6 ft)</t>
        </is>
      </c>
      <c r="D473" s="17" t="inlineStr">
        <is>
          <t>Ask / Seasonal</t>
        </is>
      </c>
    </row>
    <row r="474">
      <c r="A474" s="15">
        <f>HYPERLINK("https://shoreaquatic.com/shop/wg-tytrbl","Trail Blazer")</f>
        <v/>
      </c>
      <c r="B474" s="16" t="inlineStr"/>
      <c r="C474" s="17" t="inlineStr">
        <is>
          <t>Medium (4-6 ft)</t>
        </is>
      </c>
      <c r="D474" s="17" t="inlineStr">
        <is>
          <t>Ask / Seasonal</t>
        </is>
      </c>
    </row>
  </sheetData>
  <mergeCells count="35">
    <mergeCell ref="A126:D126"/>
    <mergeCell ref="A106:D106"/>
    <mergeCell ref="A122:D122"/>
    <mergeCell ref="A377:D377"/>
    <mergeCell ref="A4:D4"/>
    <mergeCell ref="A420:D420"/>
    <mergeCell ref="A371:D371"/>
    <mergeCell ref="A112:D112"/>
    <mergeCell ref="A460:D460"/>
    <mergeCell ref="A10:D10"/>
    <mergeCell ref="A450:D450"/>
    <mergeCell ref="A400:D400"/>
    <mergeCell ref="A58:D58"/>
    <mergeCell ref="A77:D77"/>
    <mergeCell ref="A130:D130"/>
    <mergeCell ref="A403:D403"/>
    <mergeCell ref="A201:D201"/>
    <mergeCell ref="A24:D24"/>
    <mergeCell ref="A138:D138"/>
    <mergeCell ref="A358:D358"/>
    <mergeCell ref="A396:D396"/>
    <mergeCell ref="A1:D1"/>
    <mergeCell ref="A45:D45"/>
    <mergeCell ref="A110:D110"/>
    <mergeCell ref="A430:D430"/>
    <mergeCell ref="A205:D205"/>
    <mergeCell ref="A410:D410"/>
    <mergeCell ref="A90:D90"/>
    <mergeCell ref="A118:D118"/>
    <mergeCell ref="A351:D351"/>
    <mergeCell ref="A104:D104"/>
    <mergeCell ref="A415:D415"/>
    <mergeCell ref="A2:D2"/>
    <mergeCell ref="A468:D468"/>
    <mergeCell ref="A405:D40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32" customWidth="1" min="2" max="2"/>
    <col width="20" customWidth="1" min="3" max="3"/>
    <col width="16" customWidth="1" min="4" max="4"/>
  </cols>
  <sheetData>
    <row r="1">
      <c r="A1" s="11" t="inlineStr">
        <is>
          <t>LIVESTOCK  —  Shore Aquatic Wholesale</t>
        </is>
      </c>
    </row>
    <row r="2">
      <c r="A2" s="12" t="inlineStr">
        <is>
          <t>Full range shown · pricing available to approved wholesale accounts · click a name to view online</t>
        </is>
      </c>
    </row>
    <row r="3">
      <c r="A3" s="13" t="inlineStr">
        <is>
          <t>Item (click to view)</t>
        </is>
      </c>
      <c r="B3" s="13" t="inlineStr">
        <is>
          <t>Scientific Name</t>
        </is>
      </c>
      <c r="C3" s="13" t="inlineStr">
        <is>
          <t>Size</t>
        </is>
      </c>
      <c r="D3" s="13" t="inlineStr">
        <is>
          <t>Availability</t>
        </is>
      </c>
    </row>
    <row r="4">
      <c r="A4" s="14" t="inlineStr">
        <is>
          <t xml:space="preserve">  Anemones  (18)</t>
        </is>
      </c>
    </row>
    <row r="5">
      <c r="A5" s="15">
        <f>HYPERLINK("https://shoreaquatic.com/shop/swl-carpet-anemone-green-medium-large","Carpet Anemone Green (Medium/Large)")</f>
        <v/>
      </c>
      <c r="B5" s="16" t="inlineStr"/>
      <c r="C5" s="17" t="inlineStr">
        <is>
          <t>Medium/Large</t>
        </is>
      </c>
      <c r="D5" s="17" t="inlineStr">
        <is>
          <t>Ask / Seasonal</t>
        </is>
      </c>
    </row>
    <row r="6">
      <c r="A6" s="15">
        <f>HYPERLINK("https://shoreaquatic.com/shop/swl-condylactis-anemone-pink-tip-5pk","Condylactis Anemone Pink Tip \u2014 5 Pack")</f>
        <v/>
      </c>
      <c r="B6" s="16" t="inlineStr">
        <is>
          <t>Condylactis Gigantea</t>
        </is>
      </c>
      <c r="C6" s="17" t="inlineStr">
        <is>
          <t>5-pack</t>
        </is>
      </c>
      <c r="D6" s="17" t="inlineStr">
        <is>
          <t>Ask / Seasonal</t>
        </is>
      </c>
    </row>
    <row r="7">
      <c r="A7" s="15">
        <f>HYPERLINK("https://shoreaquatic.com/shop/swl-flower-rock-anemone-green","Flower (Rock) Anemone (Green)")</f>
        <v/>
      </c>
      <c r="B7" s="16" t="inlineStr">
        <is>
          <t>Epicystis Crucifer</t>
        </is>
      </c>
      <c r="C7" s="17" t="inlineStr"/>
      <c r="D7" s="17" t="inlineStr">
        <is>
          <t>Ask / Seasonal</t>
        </is>
      </c>
    </row>
    <row r="8">
      <c r="A8" s="15">
        <f>HYPERLINK("https://shoreaquatic.com/shop/swl-flower-rock-anemone-neon-green","Flower Rock Anemone (Neon Green)")</f>
        <v/>
      </c>
      <c r="B8" s="16" t="inlineStr">
        <is>
          <t>Epicystis Crucifer</t>
        </is>
      </c>
      <c r="C8" s="17" t="inlineStr"/>
      <c r="D8" s="17" t="inlineStr">
        <is>
          <t>Ask / Seasonal</t>
        </is>
      </c>
    </row>
    <row r="9">
      <c r="A9" s="15">
        <f>HYPERLINK("https://shoreaquatic.com/shop/swl-flower-rock-anemone-red","Flower Rock Anemone (Red)")</f>
        <v/>
      </c>
      <c r="B9" s="16" t="inlineStr">
        <is>
          <t>Epicystis Crucifer</t>
        </is>
      </c>
      <c r="C9" s="17" t="inlineStr"/>
      <c r="D9" s="17" t="inlineStr">
        <is>
          <t>Ask / Seasonal</t>
        </is>
      </c>
    </row>
    <row r="10">
      <c r="A10" s="15">
        <f>HYPERLINK("https://shoreaquatic.com/shop/swl-green-bubble-anemone-large","Green Bubble Anemone (Large)")</f>
        <v/>
      </c>
      <c r="B10" s="16" t="inlineStr"/>
      <c r="C10" s="17" t="inlineStr">
        <is>
          <t>Large</t>
        </is>
      </c>
      <c r="D10" s="17" t="inlineStr">
        <is>
          <t>Ask / Seasonal</t>
        </is>
      </c>
    </row>
    <row r="11">
      <c r="A11" s="15">
        <f>HYPERLINK("https://shoreaquatic.com/shop/swl-green-bubble-anemone-medium","Green Bubble Anemone (Medium)")</f>
        <v/>
      </c>
      <c r="B11" s="16" t="inlineStr"/>
      <c r="C11" s="17" t="inlineStr">
        <is>
          <t>Medium</t>
        </is>
      </c>
      <c r="D11" s="17" t="inlineStr">
        <is>
          <t>Ask / Seasonal</t>
        </is>
      </c>
    </row>
    <row r="12">
      <c r="A12" s="15">
        <f>HYPERLINK("https://shoreaquatic.com/shop/swl-green-bubble-tip-anemone","Green Bubble Tip Anemone")</f>
        <v/>
      </c>
      <c r="B12" s="16" t="inlineStr">
        <is>
          <t>Entacmaea Quadricolor</t>
        </is>
      </c>
      <c r="C12" s="17" t="inlineStr"/>
      <c r="D12" s="17" t="inlineStr">
        <is>
          <t>Ask / Seasonal</t>
        </is>
      </c>
    </row>
    <row r="13">
      <c r="A13" s="15">
        <f>HYPERLINK("https://shoreaquatic.com/shop/swl-long-tenacle-anemone-large","Long Tenacle Anemone (Large)")</f>
        <v/>
      </c>
      <c r="B13" s="16" t="inlineStr"/>
      <c r="C13" s="17" t="inlineStr">
        <is>
          <t>Large</t>
        </is>
      </c>
      <c r="D13" s="17" t="inlineStr">
        <is>
          <t>Ask / Seasonal</t>
        </is>
      </c>
    </row>
    <row r="14">
      <c r="A14" s="15">
        <f>HYPERLINK("https://shoreaquatic.com/shop/swl-long-tenacle-anemone-medium-large","Long Tenacle Anemone (Medium/Large)")</f>
        <v/>
      </c>
      <c r="B14" s="16" t="inlineStr"/>
      <c r="C14" s="17" t="inlineStr">
        <is>
          <t>Medium/Large</t>
        </is>
      </c>
      <c r="D14" s="17" t="inlineStr">
        <is>
          <t>Ask / Seasonal</t>
        </is>
      </c>
    </row>
    <row r="15">
      <c r="A15" s="15">
        <f>HYPERLINK("https://shoreaquatic.com/shop/swl-long-tentacle-anemone","Long Tentacle Anemone")</f>
        <v/>
      </c>
      <c r="B15" s="16" t="inlineStr">
        <is>
          <t>Macrodactyla Doreensis</t>
        </is>
      </c>
      <c r="C15" s="17" t="inlineStr"/>
      <c r="D15" s="17" t="inlineStr">
        <is>
          <t>Ask / Seasonal</t>
        </is>
      </c>
    </row>
    <row r="16">
      <c r="A16" s="15">
        <f>HYPERLINK("https://shoreaquatic.com/shop/swl-orange-tube-anemone","Orange Tube Anemone")</f>
        <v/>
      </c>
      <c r="B16" s="16" t="inlineStr">
        <is>
          <t>Cerianthus Sp.</t>
        </is>
      </c>
      <c r="C16" s="17" t="inlineStr"/>
      <c r="D16" s="17" t="inlineStr">
        <is>
          <t>Ask / Seasonal</t>
        </is>
      </c>
    </row>
    <row r="17">
      <c r="A17" s="15">
        <f>HYPERLINK("https://shoreaquatic.com/shop/swl-rainbow-bubble-tip-anemone","Rainbow Bubble Tip Anemone")</f>
        <v/>
      </c>
      <c r="B17" s="16" t="inlineStr">
        <is>
          <t>Entacmaea Quadricolor</t>
        </is>
      </c>
      <c r="C17" s="17" t="inlineStr"/>
      <c r="D17" s="17" t="inlineStr">
        <is>
          <t>Ask / Seasonal</t>
        </is>
      </c>
    </row>
    <row r="18">
      <c r="A18" s="15">
        <f>HYPERLINK("https://shoreaquatic.com/shop/swl-rock-anemone-belize-green-6-lot","Rock Anemone Belize Green (6 LOT)")</f>
        <v/>
      </c>
      <c r="B18" s="16" t="inlineStr"/>
      <c r="C18" s="17" t="inlineStr">
        <is>
          <t>6 LOT</t>
        </is>
      </c>
      <c r="D18" s="17" t="inlineStr">
        <is>
          <t>Ask / Seasonal</t>
        </is>
      </c>
    </row>
    <row r="19">
      <c r="A19" s="15">
        <f>HYPERLINK("https://shoreaquatic.com/shop/swl-rock-anemone-belize-green-medium-large","Rock Anemone Belize Green (Medium/Large)")</f>
        <v/>
      </c>
      <c r="B19" s="16" t="inlineStr"/>
      <c r="C19" s="17" t="inlineStr">
        <is>
          <t>Medium/Large</t>
        </is>
      </c>
      <c r="D19" s="17" t="inlineStr">
        <is>
          <t>Ask / Seasonal</t>
        </is>
      </c>
    </row>
    <row r="20">
      <c r="A20" s="15">
        <f>HYPERLINK("https://shoreaquatic.com/shop/swl-rose-bubble-anemone-small","Rose Bubble Anemone (Small)")</f>
        <v/>
      </c>
      <c r="B20" s="16" t="inlineStr"/>
      <c r="C20" s="17" t="inlineStr">
        <is>
          <t>Small</t>
        </is>
      </c>
      <c r="D20" s="17" t="inlineStr">
        <is>
          <t>Ask / Seasonal</t>
        </is>
      </c>
    </row>
    <row r="21">
      <c r="A21" s="15">
        <f>HYPERLINK("https://shoreaquatic.com/shop/swl-sebae-anemone","Sebae Anemone")</f>
        <v/>
      </c>
      <c r="B21" s="16" t="inlineStr">
        <is>
          <t>Heteractis Crispa</t>
        </is>
      </c>
      <c r="C21" s="17" t="inlineStr"/>
      <c r="D21" s="17" t="inlineStr">
        <is>
          <t>Ask / Seasonal</t>
        </is>
      </c>
    </row>
    <row r="22">
      <c r="A22" s="15">
        <f>HYPERLINK("https://shoreaquatic.com/shop/swl-sebae-anemone-red-foot-medium","Sebae Anemone Red Foot (Medium)")</f>
        <v/>
      </c>
      <c r="B22" s="16" t="inlineStr"/>
      <c r="C22" s="17" t="inlineStr">
        <is>
          <t>Medium</t>
        </is>
      </c>
      <c r="D22" s="17" t="inlineStr">
        <is>
          <t>Ask / Seasonal</t>
        </is>
      </c>
    </row>
    <row r="23">
      <c r="A23" s="14" t="inlineStr">
        <is>
          <t xml:space="preserve">  Clams  (4)</t>
        </is>
      </c>
    </row>
    <row r="24">
      <c r="A24" s="15">
        <f>HYPERLINK("https://shoreaquatic.com/shop/swl-maxima-clam-3-blue","Maxima Clam 3\")</f>
        <v/>
      </c>
      <c r="B24" s="16" t="inlineStr"/>
      <c r="C24" s="17" t="inlineStr">
        <is>
          <t>Blue</t>
        </is>
      </c>
      <c r="D24" s="17" t="inlineStr">
        <is>
          <t>Ask / Seasonal</t>
        </is>
      </c>
    </row>
    <row r="25">
      <c r="A25" s="15">
        <f>HYPERLINK("https://shoreaquatic.com/shop/swl-maxima-clam-3-green","Maxima Clam 3\")</f>
        <v/>
      </c>
      <c r="B25" s="16" t="inlineStr"/>
      <c r="C25" s="17" t="inlineStr">
        <is>
          <t>Green</t>
        </is>
      </c>
      <c r="D25" s="17" t="inlineStr">
        <is>
          <t>Ask / Seasonal</t>
        </is>
      </c>
    </row>
    <row r="26">
      <c r="A26" s="15">
        <f>HYPERLINK("https://shoreaquatic.com/shop/swl-maxima-clams-2-to-3-green-cultured-nice-patterns","Maxima Clams 2\")</f>
        <v/>
      </c>
      <c r="B26" s="16" t="inlineStr"/>
      <c r="C26" s="17" t="inlineStr">
        <is>
          <t>nice patterns</t>
        </is>
      </c>
      <c r="D26" s="17" t="inlineStr">
        <is>
          <t>Ask / Seasonal</t>
        </is>
      </c>
    </row>
    <row r="27">
      <c r="A27" s="15">
        <f>HYPERLINK("https://shoreaquatic.com/shop/swl-maxima-clams-4-5-to-5-gold-cultured-nice-patterns","Maxima Clams 4.5\")</f>
        <v/>
      </c>
      <c r="B27" s="16" t="inlineStr"/>
      <c r="C27" s="17" t="inlineStr">
        <is>
          <t>nice patterns</t>
        </is>
      </c>
      <c r="D27" s="17" t="inlineStr">
        <is>
          <t>Ask / Seasonal</t>
        </is>
      </c>
    </row>
    <row r="28">
      <c r="A28" s="14" t="inlineStr">
        <is>
          <t xml:space="preserve">  Corals &amp; Frags  (99)</t>
        </is>
      </c>
    </row>
    <row r="29">
      <c r="A29" s="15">
        <f>HYPERLINK("https://shoreaquatic.com/shop/swl-alien-antivenom-2-polyps","Alien Antivenom (2 polyps)")</f>
        <v/>
      </c>
      <c r="B29" s="16" t="inlineStr"/>
      <c r="C29" s="17" t="inlineStr">
        <is>
          <t>2 polyps</t>
        </is>
      </c>
      <c r="D29" s="17" t="inlineStr">
        <is>
          <t>Ask / Seasonal</t>
        </is>
      </c>
    </row>
    <row r="30">
      <c r="A30" s="15">
        <f>HYPERLINK("https://shoreaquatic.com/shop/swl-bam-bams-2-polyps","Bam Bams (2 polyps)")</f>
        <v/>
      </c>
      <c r="B30" s="16" t="inlineStr"/>
      <c r="C30" s="17" t="inlineStr">
        <is>
          <t>2 polyps</t>
        </is>
      </c>
      <c r="D30" s="17" t="inlineStr">
        <is>
          <t>Ask / Seasonal</t>
        </is>
      </c>
    </row>
    <row r="31">
      <c r="A31" s="15">
        <f>HYPERLINK("https://shoreaquatic.com/shop/swl-bella-donnas-3-to-4-polyps","Bella Donnas (3 to 4 polyps)")</f>
        <v/>
      </c>
      <c r="B31" s="16" t="inlineStr"/>
      <c r="C31" s="17" t="inlineStr">
        <is>
          <t>3 to 4 polyps</t>
        </is>
      </c>
      <c r="D31" s="17" t="inlineStr">
        <is>
          <t>Ask / Seasonal</t>
        </is>
      </c>
    </row>
    <row r="32">
      <c r="A32" s="15">
        <f>HYPERLINK("https://shoreaquatic.com/shop/swl-blenny-red-lip","Blenny: Red Lip")</f>
        <v/>
      </c>
      <c r="B32" s="16" t="inlineStr">
        <is>
          <t>Ophioblennius Atlanticus</t>
        </is>
      </c>
      <c r="C32" s="17" t="inlineStr"/>
      <c r="D32" s="17" t="inlineStr">
        <is>
          <t>Ask / Seasonal</t>
        </is>
      </c>
    </row>
    <row r="33">
      <c r="A33" s="15">
        <f>HYPERLINK("https://shoreaquatic.com/shop/swl-blenny-sailfin","Blenny: Sailfin")</f>
        <v/>
      </c>
      <c r="B33" s="16" t="inlineStr">
        <is>
          <t>Emblemaria Pandionis</t>
        </is>
      </c>
      <c r="C33" s="17" t="inlineStr"/>
      <c r="D33" s="17" t="inlineStr">
        <is>
          <t>Ask / Seasonal</t>
        </is>
      </c>
    </row>
    <row r="34">
      <c r="A34" s="15">
        <f>HYPERLINK("https://shoreaquatic.com/shop/swl-blue-influsion-2-polyps","Blue Influsion (2 polyps)")</f>
        <v/>
      </c>
      <c r="B34" s="16" t="inlineStr"/>
      <c r="C34" s="17" t="inlineStr">
        <is>
          <t>2 polyps</t>
        </is>
      </c>
      <c r="D34" s="17" t="inlineStr">
        <is>
          <t>Ask / Seasonal</t>
        </is>
      </c>
    </row>
    <row r="35">
      <c r="A35" s="15">
        <f>HYPERLINK("https://shoreaquatic.com/shop/swl-blue-lagoon-4-3-polyps","Blue Lagoon (4-3 polyps)")</f>
        <v/>
      </c>
      <c r="B35" s="16" t="inlineStr"/>
      <c r="C35" s="17" t="inlineStr">
        <is>
          <t>4-3 polyps</t>
        </is>
      </c>
      <c r="D35" s="17" t="inlineStr">
        <is>
          <t>Ask / Seasonal</t>
        </is>
      </c>
    </row>
    <row r="36">
      <c r="A36" s="15">
        <f>HYPERLINK("https://shoreaquatic.com/shop/swl-blue-tort-acropora-coral","Blue Tort Acropora Coral")</f>
        <v/>
      </c>
      <c r="B36" s="16" t="inlineStr"/>
      <c r="C36" s="17" t="inlineStr"/>
      <c r="D36" s="17" t="inlineStr">
        <is>
          <t>Ask / Seasonal</t>
        </is>
      </c>
    </row>
    <row r="37">
      <c r="A37" s="15">
        <f>HYPERLINK("https://shoreaquatic.com/shop/swl-butterfly-reef","Butterfly: Reef")</f>
        <v/>
      </c>
      <c r="B37" s="16" t="inlineStr">
        <is>
          <t>Chaetodon Sedentarius</t>
        </is>
      </c>
      <c r="C37" s="17" t="inlineStr"/>
      <c r="D37" s="17" t="inlineStr">
        <is>
          <t>Ask / Seasonal</t>
        </is>
      </c>
    </row>
    <row r="38">
      <c r="A38" s="15">
        <f>HYPERLINK("https://shoreaquatic.com/shop/swl-buzzkill-cyphastrea-1-2-3-4","Buzzkill Cyphastrea (1/2-3/4\")</f>
        <v/>
      </c>
      <c r="B38" s="16" t="inlineStr"/>
      <c r="C38" s="17" t="inlineStr">
        <is>
          <t>1/2-3/4\</t>
        </is>
      </c>
      <c r="D38" s="17" t="inlineStr">
        <is>
          <t>Ask / Seasonal</t>
        </is>
      </c>
    </row>
    <row r="39">
      <c r="A39" s="15">
        <f>HYPERLINK("https://shoreaquatic.com/shop/swl-cb-bloody-sundae-stylo-1-2-3-4","CB Bloody Sundae Stylo (1/2-3/4\")</f>
        <v/>
      </c>
      <c r="B39" s="16" t="inlineStr"/>
      <c r="C39" s="17" t="inlineStr">
        <is>
          <t>1/2-3/4\</t>
        </is>
      </c>
      <c r="D39" s="17" t="inlineStr">
        <is>
          <t>Ask / Seasonal</t>
        </is>
      </c>
    </row>
    <row r="40">
      <c r="A40" s="15">
        <f>HYPERLINK("https://shoreaquatic.com/shop/swl-cb-sunkist-psammocora-1-2-3-4","CB Sunkist Psammocora (1/2-3/4\")</f>
        <v/>
      </c>
      <c r="B40" s="16" t="inlineStr"/>
      <c r="C40" s="17" t="inlineStr">
        <is>
          <t>1/2-3/4\</t>
        </is>
      </c>
      <c r="D40" s="17" t="inlineStr">
        <is>
          <t>Ask / Seasonal</t>
        </is>
      </c>
    </row>
    <row r="41">
      <c r="A41" s="15">
        <f>HYPERLINK("https://shoreaquatic.com/shop/swl-candy-cane-coral","Candy Cane Coral")</f>
        <v/>
      </c>
      <c r="B41" s="16" t="inlineStr"/>
      <c r="C41" s="17" t="inlineStr"/>
      <c r="D41" s="17" t="inlineStr">
        <is>
          <t>Ask / Seasonal</t>
        </is>
      </c>
    </row>
    <row r="42">
      <c r="A42" s="15">
        <f>HYPERLINK("https://shoreaquatic.com/shop/swl-cardinal-flame","Cardinal: Flame")</f>
        <v/>
      </c>
      <c r="B42" s="16" t="inlineStr">
        <is>
          <t>Apogon Sp.</t>
        </is>
      </c>
      <c r="C42" s="17" t="inlineStr"/>
      <c r="D42" s="17" t="inlineStr">
        <is>
          <t>Ask / Seasonal</t>
        </is>
      </c>
    </row>
    <row r="43">
      <c r="A43" s="15">
        <f>HYPERLINK("https://shoreaquatic.com/shop/swl-cat-eyes-2-polyps","Cat Eyes (2 polyps)")</f>
        <v/>
      </c>
      <c r="B43" s="16" t="inlineStr"/>
      <c r="C43" s="17" t="inlineStr">
        <is>
          <t>2 polyps</t>
        </is>
      </c>
      <c r="D43" s="17" t="inlineStr">
        <is>
          <t>Ask / Seasonal</t>
        </is>
      </c>
    </row>
    <row r="44">
      <c r="A44" s="15">
        <f>HYPERLINK("https://shoreaquatic.com/shop/swl-chromis-blue-reef","Chromis: Blue Reef")</f>
        <v/>
      </c>
      <c r="B44" s="16" t="inlineStr">
        <is>
          <t>Chromis Cyanea</t>
        </is>
      </c>
      <c r="C44" s="17" t="inlineStr"/>
      <c r="D44" s="17" t="inlineStr">
        <is>
          <t>Ask / Seasonal</t>
        </is>
      </c>
    </row>
    <row r="45">
      <c r="A45" s="15">
        <f>HYPERLINK("https://shoreaquatic.com/shop/swl-circus-zoanthids-4-5-polyps","Circus Zoanthids (4-5 polyps)")</f>
        <v/>
      </c>
      <c r="B45" s="16" t="inlineStr"/>
      <c r="C45" s="17" t="inlineStr">
        <is>
          <t>4-5 polyps</t>
        </is>
      </c>
      <c r="D45" s="17" t="inlineStr">
        <is>
          <t>Ask / Seasonal</t>
        </is>
      </c>
    </row>
    <row r="46">
      <c r="A46" s="15">
        <f>HYPERLINK("https://shoreaquatic.com/shop/swl-citrus-coolers-2-polyps","Citrus Coolers (2 polyps)")</f>
        <v/>
      </c>
      <c r="B46" s="16" t="inlineStr"/>
      <c r="C46" s="17" t="inlineStr">
        <is>
          <t>2 polyps</t>
        </is>
      </c>
      <c r="D46" s="17" t="inlineStr">
        <is>
          <t>Ask / Seasonal</t>
        </is>
      </c>
    </row>
    <row r="47">
      <c r="A47" s="15">
        <f>HYPERLINK("https://shoreaquatic.com/shop/swl-clove-polyps-orange-green-tips-3-4-polyps","Clove Polyps (Orange/Green Tips) (3-4 polyps)")</f>
        <v/>
      </c>
      <c r="B47" s="16" t="inlineStr"/>
      <c r="C47" s="17" t="inlineStr">
        <is>
          <t>3-4 polyps</t>
        </is>
      </c>
      <c r="D47" s="17" t="inlineStr">
        <is>
          <t>Ask / Seasonal</t>
        </is>
      </c>
    </row>
    <row r="48">
      <c r="A48" s="15">
        <f>HYPERLINK("https://shoreaquatic.com/shop/swl-corky-sea-finger-briareum","Corky Sea Finger (Briareum)")</f>
        <v/>
      </c>
      <c r="B48" s="16" t="inlineStr">
        <is>
          <t>Briareum Asbestinum</t>
        </is>
      </c>
      <c r="C48" s="17" t="inlineStr"/>
      <c r="D48" s="17" t="inlineStr">
        <is>
          <t>Ask / Seasonal</t>
        </is>
      </c>
    </row>
    <row r="49">
      <c r="A49" s="15">
        <f>HYPERLINK("https://shoreaquatic.com/shop/swl-damsel-jewel","Damsel: Jewel")</f>
        <v/>
      </c>
      <c r="B49" s="16" t="inlineStr">
        <is>
          <t>Microspathodon Chrysurus</t>
        </is>
      </c>
      <c r="C49" s="17" t="inlineStr"/>
      <c r="D49" s="17" t="inlineStr">
        <is>
          <t>Ask / Seasonal</t>
        </is>
      </c>
    </row>
    <row r="50">
      <c r="A50" s="15">
        <f>HYPERLINK("https://shoreaquatic.com/shop/swl-everlasting-gobstoppers-2-polyps","Everlasting Gobstoppers (2 polyps)")</f>
        <v/>
      </c>
      <c r="B50" s="16" t="inlineStr"/>
      <c r="C50" s="17" t="inlineStr">
        <is>
          <t>2 polyps</t>
        </is>
      </c>
      <c r="D50" s="17" t="inlineStr">
        <is>
          <t>Ask / Seasonal</t>
        </is>
      </c>
    </row>
    <row r="51">
      <c r="A51" s="15">
        <f>HYPERLINK("https://shoreaquatic.com/shop/swl-flash-lightning-psammocora-1-2-3-4","Flash Lightning Psammocora (1/2-3/4\")</f>
        <v/>
      </c>
      <c r="B51" s="16" t="inlineStr"/>
      <c r="C51" s="17" t="inlineStr">
        <is>
          <t>1/2-3/4\</t>
        </is>
      </c>
      <c r="D51" s="17" t="inlineStr">
        <is>
          <t>Ask / Seasonal</t>
        </is>
      </c>
    </row>
    <row r="52">
      <c r="A52" s="15">
        <f>HYPERLINK("https://shoreaquatic.com/shop/swl-frogspawn-coral","Frogspawn Coral")</f>
        <v/>
      </c>
      <c r="B52" s="16" t="inlineStr"/>
      <c r="C52" s="17" t="inlineStr"/>
      <c r="D52" s="17" t="inlineStr">
        <is>
          <t>Ask / Seasonal</t>
        </is>
      </c>
    </row>
    <row r="53">
      <c r="A53" s="15">
        <f>HYPERLINK("https://shoreaquatic.com/shop/swl-frozen-apple-2-polyps","Frozen Apple (2 polyps)")</f>
        <v/>
      </c>
      <c r="B53" s="16" t="inlineStr"/>
      <c r="C53" s="17" t="inlineStr">
        <is>
          <t>2 polyps</t>
        </is>
      </c>
      <c r="D53" s="17" t="inlineStr">
        <is>
          <t>Ask / Seasonal</t>
        </is>
      </c>
    </row>
    <row r="54">
      <c r="A54" s="15">
        <f>HYPERLINK("https://shoreaquatic.com/shop/swl-god-of-war-revolution-2-polyps","God Of War Revolution (2 polyps)")</f>
        <v/>
      </c>
      <c r="B54" s="16" t="inlineStr"/>
      <c r="C54" s="17" t="inlineStr">
        <is>
          <t>2 polyps</t>
        </is>
      </c>
      <c r="D54" s="17" t="inlineStr">
        <is>
          <t>Ask / Seasonal</t>
        </is>
      </c>
    </row>
    <row r="55">
      <c r="A55" s="15">
        <f>HYPERLINK("https://shoreaquatic.com/shop/swl-gold-torch-coral","Gold Torch Coral")</f>
        <v/>
      </c>
      <c r="B55" s="16" t="inlineStr"/>
      <c r="C55" s="17" t="inlineStr"/>
      <c r="D55" s="17" t="inlineStr">
        <is>
          <t>Ask / Seasonal</t>
        </is>
      </c>
    </row>
    <row r="56">
      <c r="A56" s="15">
        <f>HYPERLINK("https://shoreaquatic.com/shop/swl-gorgonians-assorted-species","Gorgonians (Assorted Species)")</f>
        <v/>
      </c>
      <c r="B56" s="16" t="inlineStr">
        <is>
          <t>Gorgonia Sp.</t>
        </is>
      </c>
      <c r="C56" s="17" t="inlineStr"/>
      <c r="D56" s="17" t="inlineStr">
        <is>
          <t>Ask / Seasonal</t>
        </is>
      </c>
    </row>
    <row r="57">
      <c r="A57" s="15">
        <f>HYPERLINK("https://shoreaquatic.com/shop/swl-green-lantern-cyphastrea-1-2-3-4","Green Lantern Cyphastrea (1/2-3/4\")</f>
        <v/>
      </c>
      <c r="B57" s="16" t="inlineStr"/>
      <c r="C57" s="17" t="inlineStr">
        <is>
          <t>1/2-3/4\</t>
        </is>
      </c>
      <c r="D57" s="17" t="inlineStr">
        <is>
          <t>Ask / Seasonal</t>
        </is>
      </c>
    </row>
    <row r="58">
      <c r="A58" s="15">
        <f>HYPERLINK("https://shoreaquatic.com/shop/swl-hamlet-butter","Hamlet: Butter")</f>
        <v/>
      </c>
      <c r="B58" s="16" t="inlineStr">
        <is>
          <t>Hypoplectrus Unicolor</t>
        </is>
      </c>
      <c r="C58" s="17" t="inlineStr"/>
      <c r="D58" s="17" t="inlineStr">
        <is>
          <t>Ask / Seasonal</t>
        </is>
      </c>
    </row>
    <row r="59">
      <c r="A59" s="15">
        <f>HYPERLINK("https://shoreaquatic.com/shop/swl-hawaiian-ding-dangs-2-polyps","Hawaiian Ding Dangs (2 polyps)")</f>
        <v/>
      </c>
      <c r="B59" s="16" t="inlineStr"/>
      <c r="C59" s="17" t="inlineStr">
        <is>
          <t>2 polyps</t>
        </is>
      </c>
      <c r="D59" s="17" t="inlineStr">
        <is>
          <t>Ask / Seasonal</t>
        </is>
      </c>
    </row>
    <row r="60">
      <c r="A60" s="15">
        <f>HYPERLINK("https://shoreaquatic.com/shop/swl-hogfish-cuban-lrg","Hogfish: Cuban (Lrg)")</f>
        <v/>
      </c>
      <c r="B60" s="16" t="inlineStr">
        <is>
          <t>Bodianus Pulchellus</t>
        </is>
      </c>
      <c r="C60" s="17" t="inlineStr"/>
      <c r="D60" s="17" t="inlineStr">
        <is>
          <t>Ask / Seasonal</t>
        </is>
      </c>
    </row>
    <row r="61">
      <c r="A61" s="15">
        <f>HYPERLINK("https://shoreaquatic.com/shop/swl-hogfish-cuban-med","Hogfish: Cuban (Med)")</f>
        <v/>
      </c>
      <c r="B61" s="16" t="inlineStr">
        <is>
          <t>Bodianus Pulchellus</t>
        </is>
      </c>
      <c r="C61" s="17" t="inlineStr"/>
      <c r="D61" s="17" t="inlineStr">
        <is>
          <t>Ask / Seasonal</t>
        </is>
      </c>
    </row>
    <row r="62">
      <c r="A62" s="15">
        <f>HYPERLINK("https://shoreaquatic.com/shop/swl-hogfish-cuban-sm","Hogfish: Cuban (Sm)")</f>
        <v/>
      </c>
      <c r="B62" s="16" t="inlineStr">
        <is>
          <t>Bodianus Pulchellus</t>
        </is>
      </c>
      <c r="C62" s="17" t="inlineStr"/>
      <c r="D62" s="17" t="inlineStr">
        <is>
          <t>Ask / Seasonal</t>
        </is>
      </c>
    </row>
    <row r="63">
      <c r="A63" s="15">
        <f>HYPERLINK("https://shoreaquatic.com/shop/swl-hogfish-spanish-sm","Hogfish: Spanish (Sm)")</f>
        <v/>
      </c>
      <c r="B63" s="16" t="inlineStr">
        <is>
          <t>Elacintus Oceanops</t>
        </is>
      </c>
      <c r="C63" s="17" t="inlineStr"/>
      <c r="D63" s="17" t="inlineStr">
        <is>
          <t>Ask / Seasonal</t>
        </is>
      </c>
    </row>
    <row r="64">
      <c r="A64" s="15">
        <f>HYPERLINK("https://shoreaquatic.com/shop/swl-iron-fist-zoanthid-1-polyps","Iron Fist Zoanthid (1 polyps)")</f>
        <v/>
      </c>
      <c r="B64" s="16" t="inlineStr"/>
      <c r="C64" s="17" t="inlineStr">
        <is>
          <t>1 polyps</t>
        </is>
      </c>
      <c r="D64" s="17" t="inlineStr">
        <is>
          <t>Ask / Seasonal</t>
        </is>
      </c>
    </row>
    <row r="65">
      <c r="A65" s="15">
        <f>HYPERLINK("https://shoreaquatic.com/shop/swl-jf-burning-banana-stylo-1-2-3-4","JF Burning Banana Stylo (1/2-3/4\")</f>
        <v/>
      </c>
      <c r="B65" s="16" t="inlineStr"/>
      <c r="C65" s="17" t="inlineStr">
        <is>
          <t>1/2-3/4\</t>
        </is>
      </c>
      <c r="D65" s="17" t="inlineStr">
        <is>
          <t>Ask / Seasonal</t>
        </is>
      </c>
    </row>
    <row r="66">
      <c r="A66" s="15">
        <f>HYPERLINK("https://shoreaquatic.com/shop/swl-jf-candy-coated-stylo-1-2-3-4","JF Candy Coated Stylo (1/2-3/4\")</f>
        <v/>
      </c>
      <c r="B66" s="16" t="inlineStr"/>
      <c r="C66" s="17" t="inlineStr">
        <is>
          <t>1/2-3/4\</t>
        </is>
      </c>
      <c r="D66" s="17" t="inlineStr">
        <is>
          <t>Ask / Seasonal</t>
        </is>
      </c>
    </row>
    <row r="67">
      <c r="A67" s="15">
        <f>HYPERLINK("https://shoreaquatic.com/shop/swl-jf-dayglow-favia-1-2-3-4","JF Dayglow Favia (1/2-3/4\")</f>
        <v/>
      </c>
      <c r="B67" s="16" t="inlineStr"/>
      <c r="C67" s="17" t="inlineStr">
        <is>
          <t>1/2-3/4\</t>
        </is>
      </c>
      <c r="D67" s="17" t="inlineStr">
        <is>
          <t>Ask / Seasonal</t>
        </is>
      </c>
    </row>
    <row r="68">
      <c r="A68" s="15">
        <f>HYPERLINK("https://shoreaquatic.com/shop/swl-jf-freak-hair-pavona-1-2-3-4","JF Freak Hair Pavona (1/2-3/4\")</f>
        <v/>
      </c>
      <c r="B68" s="16" t="inlineStr"/>
      <c r="C68" s="17" t="inlineStr">
        <is>
          <t>1/2-3/4\</t>
        </is>
      </c>
      <c r="D68" s="17" t="inlineStr">
        <is>
          <t>Ask / Seasonal</t>
        </is>
      </c>
    </row>
    <row r="69">
      <c r="A69" s="15">
        <f>HYPERLINK("https://shoreaquatic.com/shop/swl-jf-klepto-lepto-1-2-3-4","JF Klepto Lepto (1/2-3/4\")</f>
        <v/>
      </c>
      <c r="B69" s="16" t="inlineStr"/>
      <c r="C69" s="17" t="inlineStr">
        <is>
          <t>1/2-3/4\</t>
        </is>
      </c>
      <c r="D69" s="17" t="inlineStr">
        <is>
          <t>Ask / Seasonal</t>
        </is>
      </c>
    </row>
    <row r="70">
      <c r="A70" s="15">
        <f>HYPERLINK("https://shoreaquatic.com/shop/swl-jf-lethal-lepto-1-2-3-4","JF Lethal Lepto (1/2-3/4\")</f>
        <v/>
      </c>
      <c r="B70" s="16" t="inlineStr"/>
      <c r="C70" s="17" t="inlineStr">
        <is>
          <t>1/2-3/4\</t>
        </is>
      </c>
      <c r="D70" s="17" t="inlineStr">
        <is>
          <t>Ask / Seasonal</t>
        </is>
      </c>
    </row>
    <row r="71">
      <c r="A71" s="15">
        <f>HYPERLINK("https://shoreaquatic.com/shop/swl-jf-outer-space-psammocora-1-2-3-4","JF Outer Space Psammocora (1/2-3/4\")</f>
        <v/>
      </c>
      <c r="B71" s="16" t="inlineStr"/>
      <c r="C71" s="17" t="inlineStr">
        <is>
          <t>1/2-3/4\</t>
        </is>
      </c>
      <c r="D71" s="17" t="inlineStr">
        <is>
          <t>Ask / Seasonal</t>
        </is>
      </c>
    </row>
    <row r="72">
      <c r="A72" s="15">
        <f>HYPERLINK("https://shoreaquatic.com/shop/swl-jawfish-dusky","Jawfish: Dusky")</f>
        <v/>
      </c>
      <c r="B72" s="16" t="inlineStr">
        <is>
          <t>Opistagnathus Whitehurstii</t>
        </is>
      </c>
      <c r="C72" s="17" t="inlineStr"/>
      <c r="D72" s="17" t="inlineStr">
        <is>
          <t>Ask / Seasonal</t>
        </is>
      </c>
    </row>
    <row r="73">
      <c r="A73" s="15">
        <f>HYPERLINK("https://shoreaquatic.com/shop/swl-jawfish-pearly-yellowhead","Jawfish: Pearly/Yellowhead")</f>
        <v/>
      </c>
      <c r="B73" s="16" t="inlineStr">
        <is>
          <t>Opistagnathus Aurifrons</t>
        </is>
      </c>
      <c r="C73" s="17" t="inlineStr"/>
      <c r="D73" s="17" t="inlineStr">
        <is>
          <t>Ask / Seasonal</t>
        </is>
      </c>
    </row>
    <row r="74">
      <c r="A74" s="15">
        <f>HYPERLINK("https://shoreaquatic.com/shop/swl-john-deere-leptastrea-1-2-3-4","John Deere Leptastrea (1/2-3/4\")</f>
        <v/>
      </c>
      <c r="B74" s="16" t="inlineStr"/>
      <c r="C74" s="17" t="inlineStr">
        <is>
          <t>1/2-3/4\</t>
        </is>
      </c>
      <c r="D74" s="17" t="inlineStr">
        <is>
          <t>Ask / Seasonal</t>
        </is>
      </c>
    </row>
    <row r="75">
      <c r="A75" s="15">
        <f>HYPERLINK("https://shoreaquatic.com/shop/swl-king-midas-3-polyps","King Midas (3 polyps)")</f>
        <v/>
      </c>
      <c r="B75" s="16" t="inlineStr"/>
      <c r="C75" s="17" t="inlineStr">
        <is>
          <t>3 polyps</t>
        </is>
      </c>
      <c r="D75" s="17" t="inlineStr">
        <is>
          <t>Ask / Seasonal</t>
        </is>
      </c>
    </row>
    <row r="76">
      <c r="A76" s="15">
        <f>HYPERLINK("https://shoreaquatic.com/shop/swl-lionfish-volitan","Lionfish: Volitan")</f>
        <v/>
      </c>
      <c r="B76" s="16" t="inlineStr">
        <is>
          <t>Pterois Voltans</t>
        </is>
      </c>
      <c r="C76" s="17" t="inlineStr"/>
      <c r="D76" s="17" t="inlineStr">
        <is>
          <t>Ask / Seasonal</t>
        </is>
      </c>
    </row>
    <row r="77">
      <c r="A77" s="15">
        <f>HYPERLINK("https://shoreaquatic.com/shop/swl-meteor-shower-cyphastrea","Meteor Shower Cyphastrea")</f>
        <v/>
      </c>
      <c r="B77" s="16" t="inlineStr"/>
      <c r="C77" s="17" t="inlineStr"/>
      <c r="D77" s="17" t="inlineStr">
        <is>
          <t>Ask / Seasonal</t>
        </is>
      </c>
    </row>
    <row r="78">
      <c r="A78" s="15">
        <f>HYPERLINK("https://shoreaquatic.com/shop/swl-meteor-shower-cyphastrea-1-2-3-4","Meteor Shower Cyphastrea (1/2-3/4\")</f>
        <v/>
      </c>
      <c r="B78" s="16" t="inlineStr"/>
      <c r="C78" s="17" t="inlineStr">
        <is>
          <t>1/2-3/4\</t>
        </is>
      </c>
      <c r="D78" s="17" t="inlineStr">
        <is>
          <t>Ask / Seasonal</t>
        </is>
      </c>
    </row>
    <row r="79">
      <c r="A79" s="15">
        <f>HYPERLINK("https://shoreaquatic.com/shop/swl-mystiques-2-polyps","Mystiques (2 polyps)")</f>
        <v/>
      </c>
      <c r="B79" s="16" t="inlineStr"/>
      <c r="C79" s="17" t="inlineStr">
        <is>
          <t>2 polyps</t>
        </is>
      </c>
      <c r="D79" s="17" t="inlineStr">
        <is>
          <t>Ask / Seasonal</t>
        </is>
      </c>
    </row>
    <row r="80">
      <c r="A80" s="15">
        <f>HYPERLINK("https://shoreaquatic.com/shop/swl-nirvanas-2-polyps","Nirvanas (2 polyps)")</f>
        <v/>
      </c>
      <c r="B80" s="16" t="inlineStr"/>
      <c r="C80" s="17" t="inlineStr">
        <is>
          <t>2 polyps</t>
        </is>
      </c>
      <c r="D80" s="17" t="inlineStr">
        <is>
          <t>Ask / Seasonal</t>
        </is>
      </c>
    </row>
    <row r="81">
      <c r="A81" s="15">
        <f>HYPERLINK("https://shoreaquatic.com/shop/swl-pagoda-cup-coral-medium","Pagoda Cup Coral (Medium)")</f>
        <v/>
      </c>
      <c r="B81" s="16" t="inlineStr"/>
      <c r="C81" s="17" t="inlineStr">
        <is>
          <t>Medium</t>
        </is>
      </c>
      <c r="D81" s="17" t="inlineStr">
        <is>
          <t>Ask / Seasonal</t>
        </is>
      </c>
    </row>
    <row r="82">
      <c r="A82" s="15">
        <f>HYPERLINK("https://shoreaquatic.com/shop/swl-parrotfish-princess","Parrotfish: Princess")</f>
        <v/>
      </c>
      <c r="B82" s="16" t="inlineStr">
        <is>
          <t>Scarus Taeniopterus</t>
        </is>
      </c>
      <c r="C82" s="17" t="inlineStr"/>
      <c r="D82" s="17" t="inlineStr">
        <is>
          <t>Ask / Seasonal</t>
        </is>
      </c>
    </row>
    <row r="83">
      <c r="A83" s="15">
        <f>HYPERLINK("https://shoreaquatic.com/shop/swl-paternity-test-2-3-polyps","Paternity Test (2-3 polyps)")</f>
        <v/>
      </c>
      <c r="B83" s="16" t="inlineStr"/>
      <c r="C83" s="17" t="inlineStr">
        <is>
          <t>2-3 polyps</t>
        </is>
      </c>
      <c r="D83" s="17" t="inlineStr">
        <is>
          <t>Ask / Seasonal</t>
        </is>
      </c>
    </row>
    <row r="84">
      <c r="A84" s="15">
        <f>HYPERLINK("https://shoreaquatic.com/shop/swl-petroglyph-2-polyps","Petroglyph (2 polyps)")</f>
        <v/>
      </c>
      <c r="B84" s="16" t="inlineStr"/>
      <c r="C84" s="17" t="inlineStr">
        <is>
          <t>2 polyps</t>
        </is>
      </c>
      <c r="D84" s="17" t="inlineStr">
        <is>
          <t>Ask / Seasonal</t>
        </is>
      </c>
    </row>
    <row r="85">
      <c r="A85" s="15">
        <f>HYPERLINK("https://shoreaquatic.com/shop/swl-pink-constellation-2-polyps","Pink Constellation (2 polyps)")</f>
        <v/>
      </c>
      <c r="B85" s="16" t="inlineStr"/>
      <c r="C85" s="17" t="inlineStr">
        <is>
          <t>2 polyps</t>
        </is>
      </c>
      <c r="D85" s="17" t="inlineStr">
        <is>
          <t>Ask / Seasonal</t>
        </is>
      </c>
    </row>
    <row r="86">
      <c r="A86" s="15">
        <f>HYPERLINK("https://shoreaquatic.com/shop/swl-pink-rings-of-death-2-polyps","Pink Rings Of Death (2 polyps)")</f>
        <v/>
      </c>
      <c r="B86" s="16" t="inlineStr"/>
      <c r="C86" s="17" t="inlineStr">
        <is>
          <t>2 polyps</t>
        </is>
      </c>
      <c r="D86" s="17" t="inlineStr">
        <is>
          <t>Ask / Seasonal</t>
        </is>
      </c>
    </row>
    <row r="87">
      <c r="A87" s="15">
        <f>HYPERLINK("https://shoreaquatic.com/shop/swl-puffer-porcupine-small","Puffer: Porcupine Small")</f>
        <v/>
      </c>
      <c r="B87" s="16" t="inlineStr">
        <is>
          <t>Diodon Hystrix</t>
        </is>
      </c>
      <c r="C87" s="17" t="inlineStr"/>
      <c r="D87" s="17" t="inlineStr">
        <is>
          <t>Ask / Seasonal</t>
        </is>
      </c>
    </row>
    <row r="88">
      <c r="A88" s="15">
        <f>HYPERLINK("https://shoreaquatic.com/shop/swl-puffer-sharpnose","Puffer: Sharpnose")</f>
        <v/>
      </c>
      <c r="B88" s="16" t="inlineStr">
        <is>
          <t>Canthigaster Rostrata</t>
        </is>
      </c>
      <c r="C88" s="17" t="inlineStr"/>
      <c r="D88" s="17" t="inlineStr">
        <is>
          <t>Ask / Seasonal</t>
        </is>
      </c>
    </row>
    <row r="89">
      <c r="A89" s="15">
        <f>HYPERLINK("https://shoreaquatic.com/shop/swl-puffer-spiny-box","Puffer: Spiny Box")</f>
        <v/>
      </c>
      <c r="B89" s="16" t="inlineStr">
        <is>
          <t>Chilomycterus Schoepfi</t>
        </is>
      </c>
      <c r="C89" s="17" t="inlineStr"/>
      <c r="D89" s="17" t="inlineStr">
        <is>
          <t>Ask / Seasonal</t>
        </is>
      </c>
    </row>
    <row r="90">
      <c r="A90" s="15">
        <f>HYPERLINK("https://shoreaquatic.com/shop/swl-punk-rockers-2-3-polyps","Punk Rockers (2-3 polyps)")</f>
        <v/>
      </c>
      <c r="B90" s="16" t="inlineStr"/>
      <c r="C90" s="17" t="inlineStr">
        <is>
          <t>2-3 polyps</t>
        </is>
      </c>
      <c r="D90" s="17" t="inlineStr">
        <is>
          <t>Ask / Seasonal</t>
        </is>
      </c>
    </row>
    <row r="91">
      <c r="A91" s="15">
        <f>HYPERLINK("https://shoreaquatic.com/shop/swl-purple-hearts-2-polyps","Purple Hearts (2 polyps)")</f>
        <v/>
      </c>
      <c r="B91" s="16" t="inlineStr"/>
      <c r="C91" s="17" t="inlineStr">
        <is>
          <t>2 polyps</t>
        </is>
      </c>
      <c r="D91" s="17" t="inlineStr">
        <is>
          <t>Ask / Seasonal</t>
        </is>
      </c>
    </row>
    <row r="92">
      <c r="A92" s="15">
        <f>HYPERLINK("https://shoreaquatic.com/shop/swl-rainbow-infusion-2-polyps","Rainbow Infusion (2 polyps)")</f>
        <v/>
      </c>
      <c r="B92" s="16" t="inlineStr"/>
      <c r="C92" s="17" t="inlineStr">
        <is>
          <t>2 polyps</t>
        </is>
      </c>
      <c r="D92" s="17" t="inlineStr">
        <is>
          <t>Ask / Seasonal</t>
        </is>
      </c>
    </row>
    <row r="93">
      <c r="A93" s="15">
        <f>HYPERLINK("https://shoreaquatic.com/shop/swl-rastas-2-polyps","Rastas (2 polyps)")</f>
        <v/>
      </c>
      <c r="B93" s="16" t="inlineStr"/>
      <c r="C93" s="17" t="inlineStr">
        <is>
          <t>2 polyps</t>
        </is>
      </c>
      <c r="D93" s="17" t="inlineStr">
        <is>
          <t>Ask / Seasonal</t>
        </is>
      </c>
    </row>
    <row r="94">
      <c r="A94" s="15">
        <f>HYPERLINK("https://shoreaquatic.com/shop/swl-red-cyphastrea-coral","Red Cyphastrea Coral")</f>
        <v/>
      </c>
      <c r="B94" s="16" t="inlineStr"/>
      <c r="C94" s="17" t="inlineStr"/>
      <c r="D94" s="17" t="inlineStr">
        <is>
          <t>Ask / Seasonal</t>
        </is>
      </c>
    </row>
    <row r="95">
      <c r="A95" s="15">
        <f>HYPERLINK("https://shoreaquatic.com/shop/swl-red-deaths-2-polyps","Red Deaths (2 polyps)")</f>
        <v/>
      </c>
      <c r="B95" s="16" t="inlineStr"/>
      <c r="C95" s="17" t="inlineStr">
        <is>
          <t>2 polyps</t>
        </is>
      </c>
      <c r="D95" s="17" t="inlineStr">
        <is>
          <t>Ask / Seasonal</t>
        </is>
      </c>
    </row>
    <row r="96">
      <c r="A96" s="15">
        <f>HYPERLINK("https://shoreaquatic.com/shop/swl-red-finger-non-photosynthetic","Red Finger - Non Photosynthetic")</f>
        <v/>
      </c>
      <c r="B96" s="16" t="inlineStr">
        <is>
          <t>Diodogorgia Nodulifera</t>
        </is>
      </c>
      <c r="C96" s="17" t="inlineStr"/>
      <c r="D96" s="17" t="inlineStr">
        <is>
          <t>Ask / Seasonal</t>
        </is>
      </c>
    </row>
    <row r="97">
      <c r="A97" s="15">
        <f>HYPERLINK("https://shoreaquatic.com/shop/swl-reef-koi-wwc-sunkist-bounce-mushroom-1-2-3-4","Reef Koi/WWC Sunkist Bounce Mushroom (1/2-3/4\")</f>
        <v/>
      </c>
      <c r="B97" s="16" t="inlineStr"/>
      <c r="C97" s="17" t="inlineStr">
        <is>
          <t>1/2-3/4\</t>
        </is>
      </c>
      <c r="D97" s="17" t="inlineStr">
        <is>
          <t>Ask / Seasonal</t>
        </is>
      </c>
    </row>
    <row r="98">
      <c r="A98" s="15">
        <f>HYPERLINK("https://shoreaquatic.com/shop/swl-ricordea-blue-pink-multicolor","Ricordea \u2013 Blue/Pink/Multicolor")</f>
        <v/>
      </c>
      <c r="B98" s="16" t="inlineStr">
        <is>
          <t>Ricordea Florida</t>
        </is>
      </c>
      <c r="C98" s="17" t="inlineStr"/>
      <c r="D98" s="17" t="inlineStr">
        <is>
          <t>Ask / Seasonal</t>
        </is>
      </c>
    </row>
    <row r="99">
      <c r="A99" s="15">
        <f>HYPERLINK("https://shoreaquatic.com/shop/swl-ricordea-green","Ricordea \u2013 Green")</f>
        <v/>
      </c>
      <c r="B99" s="16" t="inlineStr">
        <is>
          <t>Ricordea Florida</t>
        </is>
      </c>
      <c r="C99" s="17" t="inlineStr"/>
      <c r="D99" s="17" t="inlineStr">
        <is>
          <t>Ask / Seasonal</t>
        </is>
      </c>
    </row>
    <row r="100">
      <c r="A100" s="15">
        <f>HYPERLINK("https://shoreaquatic.com/shop/swl-ricordea-neon-green","Ricordea \u2013 Neon Green")</f>
        <v/>
      </c>
      <c r="B100" s="16" t="inlineStr">
        <is>
          <t>Ricordea Florida</t>
        </is>
      </c>
      <c r="C100" s="17" t="inlineStr"/>
      <c r="D100" s="17" t="inlineStr">
        <is>
          <t>Ask / Seasonal</t>
        </is>
      </c>
    </row>
    <row r="101">
      <c r="A101" s="15">
        <f>HYPERLINK("https://shoreaquatic.com/shop/swl-ricordea-orange-scarce","Ricordea \u2013 Orange (Scarce)")</f>
        <v/>
      </c>
      <c r="B101" s="16" t="inlineStr">
        <is>
          <t>Ricordea Florida</t>
        </is>
      </c>
      <c r="C101" s="17" t="inlineStr"/>
      <c r="D101" s="17" t="inlineStr">
        <is>
          <t>Ask / Seasonal</t>
        </is>
      </c>
    </row>
    <row r="102">
      <c r="A102" s="15">
        <f>HYPERLINK("https://shoreaquatic.com/shop/swl-solar-flare-2-polyps","Solar Flare (2 polyps)")</f>
        <v/>
      </c>
      <c r="B102" s="16" t="inlineStr"/>
      <c r="C102" s="17" t="inlineStr">
        <is>
          <t>2 polyps</t>
        </is>
      </c>
      <c r="D102" s="17" t="inlineStr">
        <is>
          <t>Ask / Seasonal</t>
        </is>
      </c>
    </row>
    <row r="103">
      <c r="A103" s="15">
        <f>HYPERLINK("https://shoreaquatic.com/shop/swl-sonic-the-hedgehog-galaxea-3-4","Sonic The Hedgehog Galaxea (3/4\")</f>
        <v/>
      </c>
      <c r="B103" s="16" t="inlineStr"/>
      <c r="C103" s="17" t="inlineStr">
        <is>
          <t>3/4\</t>
        </is>
      </c>
      <c r="D103" s="17" t="inlineStr">
        <is>
          <t>Ask / Seasonal</t>
        </is>
      </c>
    </row>
    <row r="104">
      <c r="A104" s="15">
        <f>HYPERLINK("https://shoreaquatic.com/shop/swl-spicey-lemon-favia-1-2-3-4","Spicey Lemon Favia (1/2-3/4\")</f>
        <v/>
      </c>
      <c r="B104" s="16" t="inlineStr"/>
      <c r="C104" s="17" t="inlineStr">
        <is>
          <t>1/2-3/4\</t>
        </is>
      </c>
      <c r="D104" s="17" t="inlineStr">
        <is>
          <t>Ask / Seasonal</t>
        </is>
      </c>
    </row>
    <row r="105">
      <c r="A105" s="15">
        <f>HYPERLINK("https://shoreaquatic.com/shop/swl-st-plate-coral","St Plate Coral")</f>
        <v/>
      </c>
      <c r="B105" s="16" t="inlineStr"/>
      <c r="C105" s="17" t="inlineStr"/>
      <c r="D105" s="17" t="inlineStr">
        <is>
          <t>Ask / Seasonal</t>
        </is>
      </c>
    </row>
    <row r="106">
      <c r="A106" s="15">
        <f>HYPERLINK("https://shoreaquatic.com/shop/swl-st-thomas-mushroom-green","St. Thomas Mushroom Green")</f>
        <v/>
      </c>
      <c r="B106" s="16" t="inlineStr">
        <is>
          <t>Discosoma Sanctithomae</t>
        </is>
      </c>
      <c r="C106" s="17" t="inlineStr"/>
      <c r="D106" s="17" t="inlineStr">
        <is>
          <t>Ask / Seasonal</t>
        </is>
      </c>
    </row>
    <row r="107">
      <c r="A107" s="15">
        <f>HYPERLINK("https://shoreaquatic.com/shop/swl-st-thomas-mushroom-red","St. Thomas Mushroom Red")</f>
        <v/>
      </c>
      <c r="B107" s="16" t="inlineStr">
        <is>
          <t>Discosoma Sanctithomae</t>
        </is>
      </c>
      <c r="C107" s="17" t="inlineStr"/>
      <c r="D107" s="17" t="inlineStr">
        <is>
          <t>Ask / Seasonal</t>
        </is>
      </c>
    </row>
    <row r="108">
      <c r="A108" s="15">
        <f>HYPERLINK("https://shoreaquatic.com/shop/swl-stargazers-zoanthids-4-5-polyps","Stargazers Zoanthids (4-5 polyps)")</f>
        <v/>
      </c>
      <c r="B108" s="16" t="inlineStr"/>
      <c r="C108" s="17" t="inlineStr">
        <is>
          <t>4-5 polyps</t>
        </is>
      </c>
      <c r="D108" s="17" t="inlineStr">
        <is>
          <t>Ask / Seasonal</t>
        </is>
      </c>
    </row>
    <row r="109">
      <c r="A109" s="15">
        <f>HYPERLINK("https://shoreaquatic.com/shop/swl-sunburst-cap-coral-medium-large","Sunburst Cap Coral (Medium/Large)")</f>
        <v/>
      </c>
      <c r="B109" s="16" t="inlineStr"/>
      <c r="C109" s="17" t="inlineStr">
        <is>
          <t>Medium/Large</t>
        </is>
      </c>
      <c r="D109" s="17" t="inlineStr">
        <is>
          <t>Ask / Seasonal</t>
        </is>
      </c>
    </row>
    <row r="110">
      <c r="A110" s="15">
        <f>HYPERLINK("https://shoreaquatic.com/shop/swl-super-saiyans-2-polyps","Super Saiyans (2 polyps)")</f>
        <v/>
      </c>
      <c r="B110" s="16" t="inlineStr"/>
      <c r="C110" s="17" t="inlineStr">
        <is>
          <t>2 polyps</t>
        </is>
      </c>
      <c r="D110" s="17" t="inlineStr">
        <is>
          <t>Ask / Seasonal</t>
        </is>
      </c>
    </row>
    <row r="111">
      <c r="A111" s="15">
        <f>HYPERLINK("https://shoreaquatic.com/shop/swl-tang-atlantic-blue-juvi","Tang: Atlantic Blue Juvi")</f>
        <v/>
      </c>
      <c r="B111" s="16" t="inlineStr">
        <is>
          <t>Acanthurus Coeruleus</t>
        </is>
      </c>
      <c r="C111" s="17" t="inlineStr"/>
      <c r="D111" s="17" t="inlineStr">
        <is>
          <t>Ask / Seasonal</t>
        </is>
      </c>
    </row>
    <row r="112">
      <c r="A112" s="15">
        <f>HYPERLINK("https://shoreaquatic.com/shop/swl-ufos-3-polyps","UFOs (3 polyps)")</f>
        <v/>
      </c>
      <c r="B112" s="16" t="inlineStr"/>
      <c r="C112" s="17" t="inlineStr">
        <is>
          <t>3 polyps</t>
        </is>
      </c>
      <c r="D112" s="17" t="inlineStr">
        <is>
          <t>Ask / Seasonal</t>
        </is>
      </c>
    </row>
    <row r="113">
      <c r="A113" s="15">
        <f>HYPERLINK("https://shoreaquatic.com/shop/swl-umbrella-mushroom","Umbrella Mushroom")</f>
        <v/>
      </c>
      <c r="B113" s="16" t="inlineStr">
        <is>
          <t>Discosoma Neglectum</t>
        </is>
      </c>
      <c r="C113" s="17" t="inlineStr"/>
      <c r="D113" s="17" t="inlineStr">
        <is>
          <t>Ask / Seasonal</t>
        </is>
      </c>
    </row>
    <row r="114">
      <c r="A114" s="15">
        <f>HYPERLINK("https://shoreaquatic.com/shop/swl-vampire-2-polyps","Vampire (2 polyps)")</f>
        <v/>
      </c>
      <c r="B114" s="16" t="inlineStr"/>
      <c r="C114" s="17" t="inlineStr">
        <is>
          <t>2 polyps</t>
        </is>
      </c>
      <c r="D114" s="17" t="inlineStr">
        <is>
          <t>Ask / Seasonal</t>
        </is>
      </c>
    </row>
    <row r="115">
      <c r="A115" s="15">
        <f>HYPERLINK("https://shoreaquatic.com/shop/swl-wwc-aoi-zoanthids-3-4-polyps","WWC Aoi Zoanthids (3-4 polyps)")</f>
        <v/>
      </c>
      <c r="B115" s="16" t="inlineStr"/>
      <c r="C115" s="17" t="inlineStr">
        <is>
          <t>3-4 polyps</t>
        </is>
      </c>
      <c r="D115" s="17" t="inlineStr">
        <is>
          <t>Ask / Seasonal</t>
        </is>
      </c>
    </row>
    <row r="116">
      <c r="A116" s="15">
        <f>HYPERLINK("https://shoreaquatic.com/shop/swl-wwc-bizarro-cyphastrea-1-2-3-4","WWC Bizarro Cyphastrea (1/2-3/4\")</f>
        <v/>
      </c>
      <c r="B116" s="16" t="inlineStr"/>
      <c r="C116" s="17" t="inlineStr">
        <is>
          <t>1/2-3/4\</t>
        </is>
      </c>
      <c r="D116" s="17" t="inlineStr">
        <is>
          <t>Ask / Seasonal</t>
        </is>
      </c>
    </row>
    <row r="117">
      <c r="A117" s="15">
        <f>HYPERLINK("https://shoreaquatic.com/shop/swl-wwc-bloodsuckers-2-polyps","WWC Bloodsuckers (2 polyps)")</f>
        <v/>
      </c>
      <c r="B117" s="16" t="inlineStr"/>
      <c r="C117" s="17" t="inlineStr">
        <is>
          <t>2 polyps</t>
        </is>
      </c>
      <c r="D117" s="17" t="inlineStr">
        <is>
          <t>Ask / Seasonal</t>
        </is>
      </c>
    </row>
    <row r="118">
      <c r="A118" s="15">
        <f>HYPERLINK("https://shoreaquatic.com/shop/swl-wwc-bubbalicious-2-polyps","WWC Bubbalicious (2 polyps)")</f>
        <v/>
      </c>
      <c r="B118" s="16" t="inlineStr"/>
      <c r="C118" s="17" t="inlineStr">
        <is>
          <t>2 polyps</t>
        </is>
      </c>
      <c r="D118" s="17" t="inlineStr">
        <is>
          <t>Ask / Seasonal</t>
        </is>
      </c>
    </row>
    <row r="119">
      <c r="A119" s="15">
        <f>HYPERLINK("https://shoreaquatic.com/shop/swl-wwc-laser-lemons-4-5-polyps","WWC Laser Lemons (4-5 polyps)")</f>
        <v/>
      </c>
      <c r="B119" s="16" t="inlineStr"/>
      <c r="C119" s="17" t="inlineStr">
        <is>
          <t>4-5 polyps</t>
        </is>
      </c>
      <c r="D119" s="17" t="inlineStr">
        <is>
          <t>Ask / Seasonal</t>
        </is>
      </c>
    </row>
    <row r="120">
      <c r="A120" s="15">
        <f>HYPERLINK("https://shoreaquatic.com/shop/swl-wwc-raptors-peace-favia-1-2-3-4","WWC Raptors Peace Favia (1/2-3/4\")</f>
        <v/>
      </c>
      <c r="B120" s="16" t="inlineStr"/>
      <c r="C120" s="17" t="inlineStr">
        <is>
          <t>1/2-3/4\</t>
        </is>
      </c>
      <c r="D120" s="17" t="inlineStr">
        <is>
          <t>Ask / Seasonal</t>
        </is>
      </c>
    </row>
    <row r="121">
      <c r="A121" s="15">
        <f>HYPERLINK("https://shoreaquatic.com/shop/swl-wolverine-favia-1-2-3-4","Wolverine Favia (1/2-3/4\")</f>
        <v/>
      </c>
      <c r="B121" s="16" t="inlineStr"/>
      <c r="C121" s="17" t="inlineStr">
        <is>
          <t>1/2-3/4\</t>
        </is>
      </c>
      <c r="D121" s="17" t="inlineStr">
        <is>
          <t>Ask / Seasonal</t>
        </is>
      </c>
    </row>
    <row r="122">
      <c r="A122" s="15">
        <f>HYPERLINK("https://shoreaquatic.com/shop/swl-wrasse-blue-head","Wrasse: Blue Head")</f>
        <v/>
      </c>
      <c r="B122" s="16" t="inlineStr">
        <is>
          <t>Thalassoma Bifasciatum</t>
        </is>
      </c>
      <c r="C122" s="17" t="inlineStr"/>
      <c r="D122" s="17" t="inlineStr">
        <is>
          <t>Ask / Seasonal</t>
        </is>
      </c>
    </row>
    <row r="123">
      <c r="A123" s="15">
        <f>HYPERLINK("https://shoreaquatic.com/shop/swl-wrasse-creole","Wrasse: Creole")</f>
        <v/>
      </c>
      <c r="B123" s="16" t="inlineStr">
        <is>
          <t>Clepticus Parrae</t>
        </is>
      </c>
      <c r="C123" s="17" t="inlineStr"/>
      <c r="D123" s="17" t="inlineStr">
        <is>
          <t>Ask / Seasonal</t>
        </is>
      </c>
    </row>
    <row r="124">
      <c r="A124" s="15">
        <f>HYPERLINK("https://shoreaquatic.com/shop/swl-wrasse-neon-yellowhead","Wrasse: Neon (Yellowhead)")</f>
        <v/>
      </c>
      <c r="B124" s="16" t="inlineStr">
        <is>
          <t>Halichoeres Garnoti</t>
        </is>
      </c>
      <c r="C124" s="17" t="inlineStr"/>
      <c r="D124" s="17" t="inlineStr">
        <is>
          <t>Ask / Seasonal</t>
        </is>
      </c>
    </row>
    <row r="125">
      <c r="A125" s="15">
        <f>HYPERLINK("https://shoreaquatic.com/shop/swl-yellow-finger-non-photosynthetic","Yellow Finger - Non Photosynthetic")</f>
        <v/>
      </c>
      <c r="B125" s="16" t="inlineStr">
        <is>
          <t>Diodogorgia Nodulifera</t>
        </is>
      </c>
      <c r="C125" s="17" t="inlineStr"/>
      <c r="D125" s="17" t="inlineStr">
        <is>
          <t>Ask / Seasonal</t>
        </is>
      </c>
    </row>
    <row r="126">
      <c r="A126" s="15">
        <f>HYPERLINK("https://shoreaquatic.com/shop/swl-zooanthid","Zooanthid")</f>
        <v/>
      </c>
      <c r="B126" s="16" t="inlineStr"/>
      <c r="C126" s="17" t="inlineStr"/>
      <c r="D126" s="17" t="inlineStr">
        <is>
          <t>Ask / Seasonal</t>
        </is>
      </c>
    </row>
    <row r="127">
      <c r="A127" s="15">
        <f>HYPERLINK("https://shoreaquatic.com/shop/swl-zooanthid-red","Zooanthid Red")</f>
        <v/>
      </c>
      <c r="B127" s="16" t="inlineStr"/>
      <c r="C127" s="17" t="inlineStr"/>
      <c r="D127" s="17" t="inlineStr">
        <is>
          <t>Ask / Seasonal</t>
        </is>
      </c>
    </row>
    <row r="128">
      <c r="A128" s="14" t="inlineStr">
        <is>
          <t xml:space="preserve">  Marine Fish  (270)</t>
        </is>
      </c>
    </row>
    <row r="129">
      <c r="A129" s="15">
        <f>HYPERLINK("https://shoreaquatic.com/shop/swl-3-stripe-damsel-5pk","3 Stripe Damsel \u2014 5 Pack")</f>
        <v/>
      </c>
      <c r="B129" s="16" t="inlineStr"/>
      <c r="C129" s="17" t="inlineStr">
        <is>
          <t>5-pack</t>
        </is>
      </c>
      <c r="D129" s="17" t="inlineStr">
        <is>
          <t>Ask / Seasonal</t>
        </is>
      </c>
    </row>
    <row r="130">
      <c r="A130" s="15">
        <f>HYPERLINK("https://shoreaquatic.com/shop/swl-4-spot-yellow-coris-wrasse-medium","4 Spot Yellow Coris Wrasse (Medium)")</f>
        <v/>
      </c>
      <c r="B130" s="16" t="inlineStr"/>
      <c r="C130" s="17" t="inlineStr">
        <is>
          <t>Medium</t>
        </is>
      </c>
      <c r="D130" s="17" t="inlineStr">
        <is>
          <t>Ask / Seasonal</t>
        </is>
      </c>
    </row>
    <row r="131">
      <c r="A131" s="15">
        <f>HYPERLINK("https://shoreaquatic.com/shop/swl-4-stripe-damsel-5pk","4 Stripe Damsel \u2014 5 Pack")</f>
        <v/>
      </c>
      <c r="B131" s="16" t="inlineStr"/>
      <c r="C131" s="17" t="inlineStr">
        <is>
          <t>5-pack</t>
        </is>
      </c>
      <c r="D131" s="17" t="inlineStr">
        <is>
          <t>Ask / Seasonal</t>
        </is>
      </c>
    </row>
    <row r="132">
      <c r="A132" s="15">
        <f>HYPERLINK("https://shoreaquatic.com/shop/swl-angel-black-lrg","Angel: Black (Lrg)")</f>
        <v/>
      </c>
      <c r="B132" s="16" t="inlineStr">
        <is>
          <t>Pomacanthus Arcuatus</t>
        </is>
      </c>
      <c r="C132" s="17" t="inlineStr"/>
      <c r="D132" s="17" t="inlineStr">
        <is>
          <t>Ask / Seasonal</t>
        </is>
      </c>
    </row>
    <row r="133">
      <c r="A133" s="15">
        <f>HYPERLINK("https://shoreaquatic.com/shop/swl-angel-black-md","Angel: Black (Md)")</f>
        <v/>
      </c>
      <c r="B133" s="16" t="inlineStr">
        <is>
          <t>Pomacanthus Arcuatus</t>
        </is>
      </c>
      <c r="C133" s="17" t="inlineStr"/>
      <c r="D133" s="17" t="inlineStr">
        <is>
          <t>Ask / Seasonal</t>
        </is>
      </c>
    </row>
    <row r="134">
      <c r="A134" s="15">
        <f>HYPERLINK("https://shoreaquatic.com/shop/swl-angel-black-sm","Angel: Black (Sm)")</f>
        <v/>
      </c>
      <c r="B134" s="16" t="inlineStr">
        <is>
          <t>Pomacanthus Arcuatus</t>
        </is>
      </c>
      <c r="C134" s="17" t="inlineStr"/>
      <c r="D134" s="17" t="inlineStr">
        <is>
          <t>Ask / Seasonal</t>
        </is>
      </c>
    </row>
    <row r="135">
      <c r="A135" s="15">
        <f>HYPERLINK("https://shoreaquatic.com/shop/swl-angel-cortez-md","Angel: Cortez (Md)")</f>
        <v/>
      </c>
      <c r="B135" s="16" t="inlineStr">
        <is>
          <t>Pomacanthus Zonipectus</t>
        </is>
      </c>
      <c r="C135" s="17" t="inlineStr"/>
      <c r="D135" s="17" t="inlineStr">
        <is>
          <t>Ask / Seasonal</t>
        </is>
      </c>
    </row>
    <row r="136">
      <c r="A136" s="15">
        <f>HYPERLINK("https://shoreaquatic.com/shop/swl-angel-flame","Angel: Flame")</f>
        <v/>
      </c>
      <c r="B136" s="16" t="inlineStr">
        <is>
          <t>Centropyge Loricula</t>
        </is>
      </c>
      <c r="C136" s="17" t="inlineStr"/>
      <c r="D136" s="17" t="inlineStr">
        <is>
          <t>Ask / Seasonal</t>
        </is>
      </c>
    </row>
    <row r="137">
      <c r="A137" s="15">
        <f>HYPERLINK("https://shoreaquatic.com/shop/swl-angel-french-lrg","Angel: French (Lrg)")</f>
        <v/>
      </c>
      <c r="B137" s="16" t="inlineStr">
        <is>
          <t>Pomacanthus Paru</t>
        </is>
      </c>
      <c r="C137" s="17" t="inlineStr"/>
      <c r="D137" s="17" t="inlineStr">
        <is>
          <t>Ask / Seasonal</t>
        </is>
      </c>
    </row>
    <row r="138">
      <c r="A138" s="15">
        <f>HYPERLINK("https://shoreaquatic.com/shop/swl-angel-french-md","Angel: French (Md)")</f>
        <v/>
      </c>
      <c r="B138" s="16" t="inlineStr">
        <is>
          <t>Pomacanthus Paru</t>
        </is>
      </c>
      <c r="C138" s="17" t="inlineStr"/>
      <c r="D138" s="17" t="inlineStr">
        <is>
          <t>Ask / Seasonal</t>
        </is>
      </c>
    </row>
    <row r="139">
      <c r="A139" s="15">
        <f>HYPERLINK("https://shoreaquatic.com/shop/swl-angel-french-sm","Angel: French (Sm)")</f>
        <v/>
      </c>
      <c r="B139" s="16" t="inlineStr">
        <is>
          <t>Pomacanthus Paru</t>
        </is>
      </c>
      <c r="C139" s="17" t="inlineStr"/>
      <c r="D139" s="17" t="inlineStr">
        <is>
          <t>Ask / Seasonal</t>
        </is>
      </c>
    </row>
    <row r="140">
      <c r="A140" s="15">
        <f>HYPERLINK("https://shoreaquatic.com/shop/swl-angel-passer-lg","Angel: Passer (Lg)")</f>
        <v/>
      </c>
      <c r="B140" s="16" t="inlineStr">
        <is>
          <t>Holacanthus Passer</t>
        </is>
      </c>
      <c r="C140" s="17" t="inlineStr"/>
      <c r="D140" s="17" t="inlineStr">
        <is>
          <t>Ask / Seasonal</t>
        </is>
      </c>
    </row>
    <row r="141">
      <c r="A141" s="15">
        <f>HYPERLINK("https://shoreaquatic.com/shop/swl-angel-passer-md","Angel: Passer (Md)")</f>
        <v/>
      </c>
      <c r="B141" s="16" t="inlineStr">
        <is>
          <t>Holacanthus Passer</t>
        </is>
      </c>
      <c r="C141" s="17" t="inlineStr"/>
      <c r="D141" s="17" t="inlineStr">
        <is>
          <t>Ask / Seasonal</t>
        </is>
      </c>
    </row>
    <row r="142">
      <c r="A142" s="15">
        <f>HYPERLINK("https://shoreaquatic.com/shop/swl-angel-passer-sm","Angel: Passer (Sm)")</f>
        <v/>
      </c>
      <c r="B142" s="16" t="inlineStr">
        <is>
          <t>Holacanthus Passer</t>
        </is>
      </c>
      <c r="C142" s="17" t="inlineStr"/>
      <c r="D142" s="17" t="inlineStr">
        <is>
          <t>Ask / Seasonal</t>
        </is>
      </c>
    </row>
    <row r="143">
      <c r="A143" s="15">
        <f>HYPERLINK("https://shoreaquatic.com/shop/swl-angel-pygmy","Angel: Pygmy")</f>
        <v/>
      </c>
      <c r="B143" s="16" t="inlineStr">
        <is>
          <t>Centropyge Argi</t>
        </is>
      </c>
      <c r="C143" s="17" t="inlineStr"/>
      <c r="D143" s="17" t="inlineStr">
        <is>
          <t>Ask / Seasonal</t>
        </is>
      </c>
    </row>
    <row r="144">
      <c r="A144" s="15">
        <f>HYPERLINK("https://shoreaquatic.com/shop/swl-angel-queen-lrg","Angel: Queen (Lrg)")</f>
        <v/>
      </c>
      <c r="B144" s="16" t="inlineStr">
        <is>
          <t>Holocanthus Ciliaris</t>
        </is>
      </c>
      <c r="C144" s="17" t="inlineStr"/>
      <c r="D144" s="17" t="inlineStr">
        <is>
          <t>Ask / Seasonal</t>
        </is>
      </c>
    </row>
    <row r="145">
      <c r="A145" s="15">
        <f>HYPERLINK("https://shoreaquatic.com/shop/swl-angel-queen-md","Angel: Queen (Md)")</f>
        <v/>
      </c>
      <c r="B145" s="16" t="inlineStr">
        <is>
          <t>Holocanthus Ciliaris</t>
        </is>
      </c>
      <c r="C145" s="17" t="inlineStr"/>
      <c r="D145" s="17" t="inlineStr">
        <is>
          <t>Ask / Seasonal</t>
        </is>
      </c>
    </row>
    <row r="146">
      <c r="A146" s="15">
        <f>HYPERLINK("https://shoreaquatic.com/shop/swl-angel-queen-sm","Angel: Queen (Sm)")</f>
        <v/>
      </c>
      <c r="B146" s="16" t="inlineStr">
        <is>
          <t>Holocanthus Ciliaris</t>
        </is>
      </c>
      <c r="C146" s="17" t="inlineStr"/>
      <c r="D146" s="17" t="inlineStr">
        <is>
          <t>Ask / Seasonal</t>
        </is>
      </c>
    </row>
    <row r="147">
      <c r="A147" s="15">
        <f>HYPERLINK("https://shoreaquatic.com/shop/swl-angel-rock-beauty-lrg","Angel: Rock Beauty (Lrg)")</f>
        <v/>
      </c>
      <c r="B147" s="16" t="inlineStr">
        <is>
          <t>Holocanthus Tricolor</t>
        </is>
      </c>
      <c r="C147" s="17" t="inlineStr"/>
      <c r="D147" s="17" t="inlineStr">
        <is>
          <t>Ask / Seasonal</t>
        </is>
      </c>
    </row>
    <row r="148">
      <c r="A148" s="15">
        <f>HYPERLINK("https://shoreaquatic.com/shop/swl-angel-rock-beauty-md","Angel: Rock Beauty (Md)")</f>
        <v/>
      </c>
      <c r="B148" s="16" t="inlineStr">
        <is>
          <t>Holocanthus Tricolor</t>
        </is>
      </c>
      <c r="C148" s="17" t="inlineStr"/>
      <c r="D148" s="17" t="inlineStr">
        <is>
          <t>Ask / Seasonal</t>
        </is>
      </c>
    </row>
    <row r="149">
      <c r="A149" s="15">
        <f>HYPERLINK("https://shoreaquatic.com/shop/swl-annularis-angel-juv-medium","Annularis Angel Juv (Medium)")</f>
        <v/>
      </c>
      <c r="B149" s="16" t="inlineStr"/>
      <c r="C149" s="17" t="inlineStr">
        <is>
          <t>Medium</t>
        </is>
      </c>
      <c r="D149" s="17" t="inlineStr">
        <is>
          <t>Ask / Seasonal</t>
        </is>
      </c>
    </row>
    <row r="150">
      <c r="A150" s="15">
        <f>HYPERLINK("https://shoreaquatic.com/shop/swl-anthias-creole","Anthias: Creole")</f>
        <v/>
      </c>
      <c r="B150" s="16" t="inlineStr">
        <is>
          <t>Paranthias Colonus</t>
        </is>
      </c>
      <c r="C150" s="17" t="inlineStr"/>
      <c r="D150" s="17" t="inlineStr">
        <is>
          <t>Ask / Seasonal</t>
        </is>
      </c>
    </row>
    <row r="151">
      <c r="A151" s="15">
        <f>HYPERLINK("https://shoreaquatic.com/shop/swl-arc-eye-hawk-medium","Arc Eye Hawk (Medium)")</f>
        <v/>
      </c>
      <c r="B151" s="16" t="inlineStr"/>
      <c r="C151" s="17" t="inlineStr">
        <is>
          <t>Medium</t>
        </is>
      </c>
      <c r="D151" s="17" t="inlineStr">
        <is>
          <t>Ask / Seasonal</t>
        </is>
      </c>
    </row>
    <row r="152">
      <c r="A152" s="15">
        <f>HYPERLINK("https://shoreaquatic.com/shop/swl-arrow-crab-haiti-5pk","Arrow Crab Haiti \u2014 5 Pack")</f>
        <v/>
      </c>
      <c r="B152" s="16" t="inlineStr"/>
      <c r="C152" s="17" t="inlineStr">
        <is>
          <t>5-pack</t>
        </is>
      </c>
      <c r="D152" s="17" t="inlineStr">
        <is>
          <t>Ask / Seasonal</t>
        </is>
      </c>
    </row>
    <row r="153">
      <c r="A153" s="15">
        <f>HYPERLINK("https://shoreaquatic.com/shop/swl-arrowhead-wrasse-medium","Arrowhead Wrasse (Medium)")</f>
        <v/>
      </c>
      <c r="B153" s="16" t="inlineStr"/>
      <c r="C153" s="17" t="inlineStr">
        <is>
          <t>Medium</t>
        </is>
      </c>
      <c r="D153" s="17" t="inlineStr">
        <is>
          <t>Ask / Seasonal</t>
        </is>
      </c>
    </row>
    <row r="154">
      <c r="A154" s="15">
        <f>HYPERLINK("https://shoreaquatic.com/shop/swl-atlantic-blue-tang-large","Atlantic Blue Tang (Large)")</f>
        <v/>
      </c>
      <c r="B154" s="16" t="inlineStr"/>
      <c r="C154" s="17" t="inlineStr">
        <is>
          <t>Large</t>
        </is>
      </c>
      <c r="D154" s="17" t="inlineStr">
        <is>
          <t>Ask / Seasonal</t>
        </is>
      </c>
    </row>
    <row r="155">
      <c r="A155" s="15">
        <f>HYPERLINK("https://shoreaquatic.com/shop/swl-atlantic-blue-tang-s-m","Atlantic Blue Tang (S/M)")</f>
        <v/>
      </c>
      <c r="B155" s="16" t="inlineStr"/>
      <c r="C155" s="17" t="inlineStr">
        <is>
          <t>S/M</t>
        </is>
      </c>
      <c r="D155" s="17" t="inlineStr">
        <is>
          <t>Ask / Seasonal</t>
        </is>
      </c>
    </row>
    <row r="156">
      <c r="A156" s="15">
        <f>HYPERLINK("https://shoreaquatic.com/shop/swl-aurora-goby-africa-large","Aurora Goby Africa (Large)")</f>
        <v/>
      </c>
      <c r="B156" s="16" t="inlineStr"/>
      <c r="C156" s="17" t="inlineStr">
        <is>
          <t>Large</t>
        </is>
      </c>
      <c r="D156" s="17" t="inlineStr">
        <is>
          <t>Ask / Seasonal</t>
        </is>
      </c>
    </row>
    <row r="157">
      <c r="A157" s="15">
        <f>HYPERLINK("https://shoreaquatic.com/shop/swl-aurora-goby-phil-s-m","Aurora Goby Phil (S/M)")</f>
        <v/>
      </c>
      <c r="B157" s="16" t="inlineStr"/>
      <c r="C157" s="17" t="inlineStr">
        <is>
          <t>S/M</t>
        </is>
      </c>
      <c r="D157" s="17" t="inlineStr">
        <is>
          <t>Ask / Seasonal</t>
        </is>
      </c>
    </row>
    <row r="158">
      <c r="A158" s="15">
        <f>HYPERLINK("https://shoreaquatic.com/shop/swl-bangaii-cardinal-medium","Bangaii Cardinal (Medium)")</f>
        <v/>
      </c>
      <c r="B158" s="16" t="inlineStr"/>
      <c r="C158" s="17" t="inlineStr">
        <is>
          <t>Medium</t>
        </is>
      </c>
      <c r="D158" s="17" t="inlineStr">
        <is>
          <t>Ask / Seasonal</t>
        </is>
      </c>
    </row>
    <row r="159">
      <c r="A159" s="15">
        <f>HYPERLINK("https://shoreaquatic.com/shop/swl-basslet-black-cap","Basslet: Black Cap")</f>
        <v/>
      </c>
      <c r="B159" s="16" t="inlineStr">
        <is>
          <t>Gramma Melacara</t>
        </is>
      </c>
      <c r="C159" s="17" t="inlineStr"/>
      <c r="D159" s="17" t="inlineStr">
        <is>
          <t>Ask / Seasonal</t>
        </is>
      </c>
    </row>
    <row r="160">
      <c r="A160" s="15">
        <f>HYPERLINK("https://shoreaquatic.com/shop/swl-basslet-cave","Basslet: Cave")</f>
        <v/>
      </c>
      <c r="B160" s="16" t="inlineStr">
        <is>
          <t>Liopropoma Mowbrayi</t>
        </is>
      </c>
      <c r="C160" s="17" t="inlineStr"/>
      <c r="D160" s="17" t="inlineStr">
        <is>
          <t>Ask / Seasonal</t>
        </is>
      </c>
    </row>
    <row r="161">
      <c r="A161" s="15">
        <f>HYPERLINK("https://shoreaquatic.com/shop/swl-basslet-chalk","Basslet: Chalk")</f>
        <v/>
      </c>
      <c r="B161" s="16" t="inlineStr">
        <is>
          <t>Serranus Tortugarum</t>
        </is>
      </c>
      <c r="C161" s="17" t="inlineStr"/>
      <c r="D161" s="17" t="inlineStr">
        <is>
          <t>Ask / Seasonal</t>
        </is>
      </c>
    </row>
    <row r="162">
      <c r="A162" s="15">
        <f>HYPERLINK("https://shoreaquatic.com/shop/swl-basslet-harlequin","Basslet: Harlequin")</f>
        <v/>
      </c>
      <c r="B162" s="16" t="inlineStr">
        <is>
          <t>Serranus Tigrinus</t>
        </is>
      </c>
      <c r="C162" s="17" t="inlineStr"/>
      <c r="D162" s="17" t="inlineStr">
        <is>
          <t>Ask / Seasonal</t>
        </is>
      </c>
    </row>
    <row r="163">
      <c r="A163" s="15">
        <f>HYPERLINK("https://shoreaquatic.com/shop/swl-basslet-lantern","Basslet: Lantern")</f>
        <v/>
      </c>
      <c r="B163" s="16" t="inlineStr">
        <is>
          <t>Serranus Baldwini</t>
        </is>
      </c>
      <c r="C163" s="17" t="inlineStr"/>
      <c r="D163" s="17" t="inlineStr">
        <is>
          <t>Ask / Seasonal</t>
        </is>
      </c>
    </row>
    <row r="164">
      <c r="A164" s="15">
        <f>HYPERLINK("https://shoreaquatic.com/shop/swl-basslet-linki","Basslet: Linki")</f>
        <v/>
      </c>
      <c r="B164" s="16" t="inlineStr">
        <is>
          <t>Gramma Linki</t>
        </is>
      </c>
      <c r="C164" s="17" t="inlineStr"/>
      <c r="D164" s="17" t="inlineStr">
        <is>
          <t>Ask / Seasonal</t>
        </is>
      </c>
    </row>
    <row r="165">
      <c r="A165" s="15">
        <f>HYPERLINK("https://shoreaquatic.com/shop/swl-basslet-royal-gramma","Basslet: Royal Gramma")</f>
        <v/>
      </c>
      <c r="B165" s="16" t="inlineStr">
        <is>
          <t>Gramma Loreto</t>
        </is>
      </c>
      <c r="C165" s="17" t="inlineStr"/>
      <c r="D165" s="17" t="inlineStr">
        <is>
          <t>Ask / Seasonal</t>
        </is>
      </c>
    </row>
    <row r="166">
      <c r="A166" s="15">
        <f>HYPERLINK("https://shoreaquatic.com/shop/swl-basslet-swissguard","Basslet: Swissguard")</f>
        <v/>
      </c>
      <c r="B166" s="16" t="inlineStr">
        <is>
          <t>Liopropoma Rubra</t>
        </is>
      </c>
      <c r="C166" s="17" t="inlineStr"/>
      <c r="D166" s="17" t="inlineStr">
        <is>
          <t>Ask / Seasonal</t>
        </is>
      </c>
    </row>
    <row r="167">
      <c r="A167" s="15">
        <f>HYPERLINK("https://shoreaquatic.com/shop/swl-basslet-tobacco","Basslet: Tobacco")</f>
        <v/>
      </c>
      <c r="B167" s="16" t="inlineStr">
        <is>
          <t>Serranus Tabacarius</t>
        </is>
      </c>
      <c r="C167" s="17" t="inlineStr"/>
      <c r="D167" s="17" t="inlineStr">
        <is>
          <t>Ask / Seasonal</t>
        </is>
      </c>
    </row>
    <row r="168">
      <c r="A168" s="15">
        <f>HYPERLINK("https://shoreaquatic.com/shop/swl-bicolor-angel-medium","Bicolor Angel (Medium)")</f>
        <v/>
      </c>
      <c r="B168" s="16" t="inlineStr"/>
      <c r="C168" s="17" t="inlineStr">
        <is>
          <t>Medium</t>
        </is>
      </c>
      <c r="D168" s="17" t="inlineStr">
        <is>
          <t>Ask / Seasonal</t>
        </is>
      </c>
    </row>
    <row r="169">
      <c r="A169" s="15">
        <f>HYPERLINK("https://shoreaquatic.com/shop/swl-bimac-anthias-female-medium","Bimac Anthias Female (Medium)")</f>
        <v/>
      </c>
      <c r="B169" s="16" t="inlineStr"/>
      <c r="C169" s="17" t="inlineStr">
        <is>
          <t>Medium</t>
        </is>
      </c>
      <c r="D169" s="17" t="inlineStr">
        <is>
          <t>Ask / Seasonal</t>
        </is>
      </c>
    </row>
    <row r="170">
      <c r="A170" s="15">
        <f>HYPERLINK("https://shoreaquatic.com/shop/swl-black-angel-s-m","Black Angel (S/M)")</f>
        <v/>
      </c>
      <c r="B170" s="16" t="inlineStr"/>
      <c r="C170" s="17" t="inlineStr">
        <is>
          <t>S/M</t>
        </is>
      </c>
      <c r="D170" s="17" t="inlineStr">
        <is>
          <t>Ask / Seasonal</t>
        </is>
      </c>
    </row>
    <row r="171">
      <c r="A171" s="15">
        <f>HYPERLINK("https://shoreaquatic.com/shop/swl-black-boxfish-medium","Black Boxfish (Medium)")</f>
        <v/>
      </c>
      <c r="B171" s="16" t="inlineStr"/>
      <c r="C171" s="17" t="inlineStr">
        <is>
          <t>Medium</t>
        </is>
      </c>
      <c r="D171" s="17" t="inlineStr">
        <is>
          <t>Ask / Seasonal</t>
        </is>
      </c>
    </row>
    <row r="172">
      <c r="A172" s="15">
        <f>HYPERLINK("https://shoreaquatic.com/shop/swl-black-cap-basslet-medium","Black Cap Basslet (Medium)")</f>
        <v/>
      </c>
      <c r="B172" s="16" t="inlineStr"/>
      <c r="C172" s="17" t="inlineStr">
        <is>
          <t>Medium</t>
        </is>
      </c>
      <c r="D172" s="17" t="inlineStr">
        <is>
          <t>Ask / Seasonal</t>
        </is>
      </c>
    </row>
    <row r="173">
      <c r="A173" s="15">
        <f>HYPERLINK("https://shoreaquatic.com/shop/swl-black-clarkii-clown-large","Black Clarkii Clown (Large)")</f>
        <v/>
      </c>
      <c r="B173" s="16" t="inlineStr"/>
      <c r="C173" s="17" t="inlineStr">
        <is>
          <t>Large</t>
        </is>
      </c>
      <c r="D173" s="17" t="inlineStr">
        <is>
          <t>Ask / Seasonal</t>
        </is>
      </c>
    </row>
    <row r="174">
      <c r="A174" s="15">
        <f>HYPERLINK("https://shoreaquatic.com/shop/swl-black-ice-clown-medium","Black Ice Clown (Medium)")</f>
        <v/>
      </c>
      <c r="B174" s="16" t="inlineStr"/>
      <c r="C174" s="17" t="inlineStr">
        <is>
          <t>Medium</t>
        </is>
      </c>
      <c r="D174" s="17" t="inlineStr">
        <is>
          <t>Ask / Seasonal</t>
        </is>
      </c>
    </row>
    <row r="175">
      <c r="A175" s="15">
        <f>HYPERLINK("https://shoreaquatic.com/shop/swl-black-margarita-snail-10pk","Black Margarita Snail \u2014 10 Pack")</f>
        <v/>
      </c>
      <c r="B175" s="16" t="inlineStr"/>
      <c r="C175" s="17" t="inlineStr">
        <is>
          <t>10-pack</t>
        </is>
      </c>
      <c r="D175" s="17" t="inlineStr">
        <is>
          <t>Ask / Seasonal</t>
        </is>
      </c>
    </row>
    <row r="176">
      <c r="A176" s="15">
        <f>HYPERLINK("https://shoreaquatic.com/shop/swl-blenny-molly-miller","Blenny: Molly Miller")</f>
        <v/>
      </c>
      <c r="B176" s="16" t="inlineStr">
        <is>
          <t>Scartella Cristata</t>
        </is>
      </c>
      <c r="C176" s="17" t="inlineStr"/>
      <c r="D176" s="17" t="inlineStr">
        <is>
          <t>Ask / Seasonal</t>
        </is>
      </c>
    </row>
    <row r="177">
      <c r="A177" s="15">
        <f>HYPERLINK("https://shoreaquatic.com/shop/swl-blonde-naso-tang-medium","Blonde Naso Tang (Medium)")</f>
        <v/>
      </c>
      <c r="B177" s="16" t="inlineStr"/>
      <c r="C177" s="17" t="inlineStr">
        <is>
          <t>Medium</t>
        </is>
      </c>
      <c r="D177" s="17" t="inlineStr">
        <is>
          <t>Ask / Seasonal</t>
        </is>
      </c>
    </row>
    <row r="178">
      <c r="A178" s="15">
        <f>HYPERLINK("https://shoreaquatic.com/shop/swl-blonde-naso-tang-juv-small","Blonde Naso Tang Juv (Small)")</f>
        <v/>
      </c>
      <c r="B178" s="16" t="inlineStr"/>
      <c r="C178" s="17" t="inlineStr">
        <is>
          <t>Small</t>
        </is>
      </c>
      <c r="D178" s="17" t="inlineStr">
        <is>
          <t>Ask / Seasonal</t>
        </is>
      </c>
    </row>
    <row r="179">
      <c r="A179" s="15">
        <f>HYPERLINK("https://shoreaquatic.com/shop/swl-blotchy-anthias-medium","Blotchy Anthias (Medium)")</f>
        <v/>
      </c>
      <c r="B179" s="16" t="inlineStr"/>
      <c r="C179" s="17" t="inlineStr">
        <is>
          <t>Medium</t>
        </is>
      </c>
      <c r="D179" s="17" t="inlineStr">
        <is>
          <t>Ask / Seasonal</t>
        </is>
      </c>
    </row>
    <row r="180">
      <c r="A180" s="15">
        <f>HYPERLINK("https://shoreaquatic.com/shop/swl-blue-angel-medium-large","Blue Angel (Medium/Large)")</f>
        <v/>
      </c>
      <c r="B180" s="16" t="inlineStr"/>
      <c r="C180" s="17" t="inlineStr">
        <is>
          <t>Medium/Large</t>
        </is>
      </c>
      <c r="D180" s="17" t="inlineStr">
        <is>
          <t>Ask / Seasonal</t>
        </is>
      </c>
    </row>
    <row r="181">
      <c r="A181" s="15">
        <f>HYPERLINK("https://shoreaquatic.com/shop/swl-blue-devil-damsel-5pk","Blue Devil Damsel \u2014 5 Pack")</f>
        <v/>
      </c>
      <c r="B181" s="16" t="inlineStr"/>
      <c r="C181" s="17" t="inlineStr">
        <is>
          <t>5-pack</t>
        </is>
      </c>
      <c r="D181" s="17" t="inlineStr">
        <is>
          <t>Ask / Seasonal</t>
        </is>
      </c>
    </row>
    <row r="182">
      <c r="A182" s="15">
        <f>HYPERLINK("https://shoreaquatic.com/shop/swl-blue-eye-tang-small","Blue Eye Tang (Small)")</f>
        <v/>
      </c>
      <c r="B182" s="16" t="inlineStr"/>
      <c r="C182" s="17" t="inlineStr">
        <is>
          <t>Small</t>
        </is>
      </c>
      <c r="D182" s="17" t="inlineStr">
        <is>
          <t>Ask / Seasonal</t>
        </is>
      </c>
    </row>
    <row r="183">
      <c r="A183" s="15">
        <f>HYPERLINK("https://shoreaquatic.com/shop/swl-blue-face-angel-adult-medium-large","Blue Face Angel Adult (Medium/Large)")</f>
        <v/>
      </c>
      <c r="B183" s="16" t="inlineStr"/>
      <c r="C183" s="17" t="inlineStr">
        <is>
          <t>Medium/Large</t>
        </is>
      </c>
      <c r="D183" s="17" t="inlineStr">
        <is>
          <t>Ask / Seasonal</t>
        </is>
      </c>
    </row>
    <row r="184">
      <c r="A184" s="15">
        <f>HYPERLINK("https://shoreaquatic.com/shop/swl-blue-head-wrasse-medium","Blue Head Wrasse (Medium)")</f>
        <v/>
      </c>
      <c r="B184" s="16" t="inlineStr"/>
      <c r="C184" s="17" t="inlineStr">
        <is>
          <t>Medium</t>
        </is>
      </c>
      <c r="D184" s="17" t="inlineStr">
        <is>
          <t>Ask / Seasonal</t>
        </is>
      </c>
    </row>
    <row r="185">
      <c r="A185" s="15">
        <f>HYPERLINK("https://shoreaquatic.com/shop/swl-blue-hippo-tang-medium","Blue Hippo Tang (Medium)")</f>
        <v/>
      </c>
      <c r="B185" s="16" t="inlineStr"/>
      <c r="C185" s="17" t="inlineStr">
        <is>
          <t>Medium</t>
        </is>
      </c>
      <c r="D185" s="17" t="inlineStr">
        <is>
          <t>Ask / Seasonal</t>
        </is>
      </c>
    </row>
    <row r="186">
      <c r="A186" s="15">
        <f>HYPERLINK("https://shoreaquatic.com/shop/swl-blue-hippo-tang-medium-large","Blue Hippo Tang (Medium/Large)")</f>
        <v/>
      </c>
      <c r="B186" s="16" t="inlineStr"/>
      <c r="C186" s="17" t="inlineStr">
        <is>
          <t>Medium/Large</t>
        </is>
      </c>
      <c r="D186" s="17" t="inlineStr">
        <is>
          <t>Ask / Seasonal</t>
        </is>
      </c>
    </row>
    <row r="187">
      <c r="A187" s="15">
        <f>HYPERLINK("https://shoreaquatic.com/shop/swl-blue-hippo-tang-s-m","Blue Hippo Tang (S/M)")</f>
        <v/>
      </c>
      <c r="B187" s="16" t="inlineStr"/>
      <c r="C187" s="17" t="inlineStr">
        <is>
          <t>S/M</t>
        </is>
      </c>
      <c r="D187" s="17" t="inlineStr">
        <is>
          <t>Ask / Seasonal</t>
        </is>
      </c>
    </row>
    <row r="188">
      <c r="A188" s="15">
        <f>HYPERLINK("https://shoreaquatic.com/shop/swl-blue-mandarin-goby-medium","Blue Mandarin Goby (Medium)")</f>
        <v/>
      </c>
      <c r="B188" s="16" t="inlineStr"/>
      <c r="C188" s="17" t="inlineStr">
        <is>
          <t>Medium</t>
        </is>
      </c>
      <c r="D188" s="17" t="inlineStr">
        <is>
          <t>Ask / Seasonal</t>
        </is>
      </c>
    </row>
    <row r="189">
      <c r="A189" s="15">
        <f>HYPERLINK("https://shoreaquatic.com/shop/swl-blue-reef-chromis-atl-medium","Blue Reef Chromis Atl (Medium)")</f>
        <v/>
      </c>
      <c r="B189" s="16" t="inlineStr"/>
      <c r="C189" s="17" t="inlineStr">
        <is>
          <t>Medium</t>
        </is>
      </c>
      <c r="D189" s="17" t="inlineStr">
        <is>
          <t>Ask / Seasonal</t>
        </is>
      </c>
    </row>
    <row r="190">
      <c r="A190" s="15">
        <f>HYPERLINK("https://shoreaquatic.com/shop/swl-blue-throat-trigger-male-large","Blue Throat Trigger Male (Large)")</f>
        <v/>
      </c>
      <c r="B190" s="16" t="inlineStr"/>
      <c r="C190" s="17" t="inlineStr">
        <is>
          <t>Large</t>
        </is>
      </c>
      <c r="D190" s="17" t="inlineStr">
        <is>
          <t>Ask / Seasonal</t>
        </is>
      </c>
    </row>
    <row r="191">
      <c r="A191" s="15">
        <f>HYPERLINK("https://shoreaquatic.com/shop/swl-bristletooth-tang-medium","Bristletooth Tang (Medium)")</f>
        <v/>
      </c>
      <c r="B191" s="16" t="inlineStr"/>
      <c r="C191" s="17" t="inlineStr">
        <is>
          <t>Medium</t>
        </is>
      </c>
      <c r="D191" s="17" t="inlineStr">
        <is>
          <t>Ask / Seasonal</t>
        </is>
      </c>
    </row>
    <row r="192">
      <c r="A192" s="15">
        <f>HYPERLINK("https://shoreaquatic.com/shop/swl-bullet-goby-medium-large","Bullet Goby (Medium/Large)")</f>
        <v/>
      </c>
      <c r="B192" s="16" t="inlineStr"/>
      <c r="C192" s="17" t="inlineStr">
        <is>
          <t>Medium/Large</t>
        </is>
      </c>
      <c r="D192" s="17" t="inlineStr">
        <is>
          <t>Ask / Seasonal</t>
        </is>
      </c>
    </row>
    <row r="193">
      <c r="A193" s="15">
        <f>HYPERLINK("https://shoreaquatic.com/shop/swl-canary-blenny-yellow-medium-large","Canary Blenny Yellow (Medium/Large)")</f>
        <v/>
      </c>
      <c r="B193" s="16" t="inlineStr"/>
      <c r="C193" s="17" t="inlineStr">
        <is>
          <t>Medium/Large</t>
        </is>
      </c>
      <c r="D193" s="17" t="inlineStr">
        <is>
          <t>Ask / Seasonal</t>
        </is>
      </c>
    </row>
    <row r="194">
      <c r="A194" s="15">
        <f>HYPERLINK("https://shoreaquatic.com/shop/swl-candy-cane-wrasse-medium","Candy Cane Wrasse (Medium)")</f>
        <v/>
      </c>
      <c r="B194" s="16" t="inlineStr"/>
      <c r="C194" s="17" t="inlineStr">
        <is>
          <t>Medium</t>
        </is>
      </c>
      <c r="D194" s="17" t="inlineStr">
        <is>
          <t>Ask / Seasonal</t>
        </is>
      </c>
    </row>
    <row r="195">
      <c r="A195" s="15">
        <f>HYPERLINK("https://shoreaquatic.com/shop/swl-candy-hogfish-yellow-medium","Candy Hogfish Yellow (Medium)")</f>
        <v/>
      </c>
      <c r="B195" s="16" t="inlineStr"/>
      <c r="C195" s="17" t="inlineStr">
        <is>
          <t>Medium</t>
        </is>
      </c>
      <c r="D195" s="17" t="inlineStr">
        <is>
          <t>Ask / Seasonal</t>
        </is>
      </c>
    </row>
    <row r="196">
      <c r="A196" s="15">
        <f>HYPERLINK("https://shoreaquatic.com/shop/swl-candy-hogfish-yellow-small","Candy Hogfish Yellow (Small)")</f>
        <v/>
      </c>
      <c r="B196" s="16" t="inlineStr"/>
      <c r="C196" s="17" t="inlineStr">
        <is>
          <t>Small</t>
        </is>
      </c>
      <c r="D196" s="17" t="inlineStr">
        <is>
          <t>Ask / Seasonal</t>
        </is>
      </c>
    </row>
    <row r="197">
      <c r="A197" s="15">
        <f>HYPERLINK("https://shoreaquatic.com/shop/swl-carpenter-s-fairy-wrasse-medium","Carpenter'S Fairy Wrasse (Medium)")</f>
        <v/>
      </c>
      <c r="B197" s="16" t="inlineStr"/>
      <c r="C197" s="17" t="inlineStr">
        <is>
          <t>Medium</t>
        </is>
      </c>
      <c r="D197" s="17" t="inlineStr">
        <is>
          <t>Ask / Seasonal</t>
        </is>
      </c>
    </row>
    <row r="198">
      <c r="A198" s="15">
        <f>HYPERLINK("https://shoreaquatic.com/shop/swl-cleaner-wrasse-large","Cleaner Wrasse (Large)")</f>
        <v/>
      </c>
      <c r="B198" s="16" t="inlineStr"/>
      <c r="C198" s="17" t="inlineStr">
        <is>
          <t>Large</t>
        </is>
      </c>
      <c r="D198" s="17" t="inlineStr">
        <is>
          <t>Ask / Seasonal</t>
        </is>
      </c>
    </row>
    <row r="199">
      <c r="A199" s="15">
        <f>HYPERLINK("https://shoreaquatic.com/shop/swl-cleaner-wrasse-medium","Cleaner Wrasse (Medium)")</f>
        <v/>
      </c>
      <c r="B199" s="16" t="inlineStr"/>
      <c r="C199" s="17" t="inlineStr">
        <is>
          <t>Medium</t>
        </is>
      </c>
      <c r="D199" s="17" t="inlineStr">
        <is>
          <t>Ask / Seasonal</t>
        </is>
      </c>
    </row>
    <row r="200">
      <c r="A200" s="15">
        <f>HYPERLINK("https://shoreaquatic.com/shop/swl-clown-tang-s-m","Clown Tang (S/M)")</f>
        <v/>
      </c>
      <c r="B200" s="16" t="inlineStr"/>
      <c r="C200" s="17" t="inlineStr">
        <is>
          <t>S/M</t>
        </is>
      </c>
      <c r="D200" s="17" t="inlineStr">
        <is>
          <t>Ask / Seasonal</t>
        </is>
      </c>
    </row>
    <row r="201">
      <c r="A201" s="15">
        <f>HYPERLINK("https://shoreaquatic.com/shop/swl-convict-tang-small","Convict Tang (Small)")</f>
        <v/>
      </c>
      <c r="B201" s="16" t="inlineStr"/>
      <c r="C201" s="17" t="inlineStr">
        <is>
          <t>Small</t>
        </is>
      </c>
      <c r="D201" s="17" t="inlineStr">
        <is>
          <t>Ask / Seasonal</t>
        </is>
      </c>
    </row>
    <row r="202">
      <c r="A202" s="15">
        <f>HYPERLINK("https://shoreaquatic.com/shop/swl-copperband-butterfly-medium","Copperband Butterfly (Medium)")</f>
        <v/>
      </c>
      <c r="B202" s="16" t="inlineStr"/>
      <c r="C202" s="17" t="inlineStr">
        <is>
          <t>Medium</t>
        </is>
      </c>
      <c r="D202" s="17" t="inlineStr">
        <is>
          <t>Ask / Seasonal</t>
        </is>
      </c>
    </row>
    <row r="203">
      <c r="A203" s="15">
        <f>HYPERLINK("https://shoreaquatic.com/shop/swl-copperband-butterfly-medium-large","Copperband Butterfly (Medium/Large)")</f>
        <v/>
      </c>
      <c r="B203" s="16" t="inlineStr"/>
      <c r="C203" s="17" t="inlineStr">
        <is>
          <t>Medium/Large</t>
        </is>
      </c>
      <c r="D203" s="17" t="inlineStr">
        <is>
          <t>Ask / Seasonal</t>
        </is>
      </c>
    </row>
    <row r="204">
      <c r="A204" s="15">
        <f>HYPERLINK("https://shoreaquatic.com/shop/swl-copperband-butterfly-small","Copperband Butterfly (Small)")</f>
        <v/>
      </c>
      <c r="B204" s="16" t="inlineStr"/>
      <c r="C204" s="17" t="inlineStr">
        <is>
          <t>Small</t>
        </is>
      </c>
      <c r="D204" s="17" t="inlineStr">
        <is>
          <t>Ask / Seasonal</t>
        </is>
      </c>
    </row>
    <row r="205">
      <c r="A205" s="15">
        <f>HYPERLINK("https://shoreaquatic.com/shop/swl-coral-banded-shrimp-s-m","Coral Banded Shrimp (S/M)")</f>
        <v/>
      </c>
      <c r="B205" s="16" t="inlineStr"/>
      <c r="C205" s="17" t="inlineStr">
        <is>
          <t>S/M</t>
        </is>
      </c>
      <c r="D205" s="17" t="inlineStr">
        <is>
          <t>Ask / Seasonal</t>
        </is>
      </c>
    </row>
    <row r="206">
      <c r="A206" s="15">
        <f>HYPERLINK("https://shoreaquatic.com/shop/swl-coral-beauty-medium","Coral Beauty (Medium)")</f>
        <v/>
      </c>
      <c r="B206" s="16" t="inlineStr"/>
      <c r="C206" s="17" t="inlineStr">
        <is>
          <t>Medium</t>
        </is>
      </c>
      <c r="D206" s="17" t="inlineStr">
        <is>
          <t>Ask / Seasonal</t>
        </is>
      </c>
    </row>
    <row r="207">
      <c r="A207" s="15">
        <f>HYPERLINK("https://shoreaquatic.com/shop/swl-coral-hawk-fish-s-m","Coral Hawk Fish (S/M)")</f>
        <v/>
      </c>
      <c r="B207" s="16" t="inlineStr"/>
      <c r="C207" s="17" t="inlineStr">
        <is>
          <t>S/M</t>
        </is>
      </c>
      <c r="D207" s="17" t="inlineStr">
        <is>
          <t>Ask / Seasonal</t>
        </is>
      </c>
    </row>
    <row r="208">
      <c r="A208" s="15">
        <f>HYPERLINK("https://shoreaquatic.com/shop/swl-desjardini-sailfin-tang-medium","Desjardini Sailfin Tang (Medium)")</f>
        <v/>
      </c>
      <c r="B208" s="16" t="inlineStr"/>
      <c r="C208" s="17" t="inlineStr">
        <is>
          <t>Medium</t>
        </is>
      </c>
      <c r="D208" s="17" t="inlineStr">
        <is>
          <t>Ask / Seasonal</t>
        </is>
      </c>
    </row>
    <row r="209">
      <c r="A209" s="15">
        <f>HYPERLINK("https://shoreaquatic.com/shop/swl-desjardini-sailfin-tang-medium-large","Desjardini Sailfin Tang (Medium/Large)")</f>
        <v/>
      </c>
      <c r="B209" s="16" t="inlineStr"/>
      <c r="C209" s="17" t="inlineStr">
        <is>
          <t>Medium/Large</t>
        </is>
      </c>
      <c r="D209" s="17" t="inlineStr">
        <is>
          <t>Ask / Seasonal</t>
        </is>
      </c>
    </row>
    <row r="210">
      <c r="A210" s="15">
        <f>HYPERLINK("https://shoreaquatic.com/shop/swl-desjardini-sailfin-tang-s-m","Desjardini Sailfin Tang (S/M)")</f>
        <v/>
      </c>
      <c r="B210" s="16" t="inlineStr"/>
      <c r="C210" s="17" t="inlineStr">
        <is>
          <t>S/M</t>
        </is>
      </c>
      <c r="D210" s="17" t="inlineStr">
        <is>
          <t>Ask / Seasonal</t>
        </is>
      </c>
    </row>
    <row r="211">
      <c r="A211" s="15">
        <f>HYPERLINK("https://shoreaquatic.com/shop/swl-desjardini-sailfin-tang-small","Desjardini Sailfin Tang (Small)")</f>
        <v/>
      </c>
      <c r="B211" s="16" t="inlineStr"/>
      <c r="C211" s="17" t="inlineStr">
        <is>
          <t>Small</t>
        </is>
      </c>
      <c r="D211" s="17" t="inlineStr">
        <is>
          <t>Ask / Seasonal</t>
        </is>
      </c>
    </row>
    <row r="212">
      <c r="A212" s="15">
        <f>HYPERLINK("https://shoreaquatic.com/shop/swl-diadema-medium","Diadema (Medium)")</f>
        <v/>
      </c>
      <c r="B212" s="16" t="inlineStr"/>
      <c r="C212" s="17" t="inlineStr">
        <is>
          <t>Medium</t>
        </is>
      </c>
      <c r="D212" s="17" t="inlineStr">
        <is>
          <t>Ask / Seasonal</t>
        </is>
      </c>
    </row>
    <row r="213">
      <c r="A213" s="15">
        <f>HYPERLINK("https://shoreaquatic.com/shop/swl-diamond-goby-large","Diamond Goby (Large)")</f>
        <v/>
      </c>
      <c r="B213" s="16" t="inlineStr"/>
      <c r="C213" s="17" t="inlineStr">
        <is>
          <t>Large</t>
        </is>
      </c>
      <c r="D213" s="17" t="inlineStr">
        <is>
          <t>Ask / Seasonal</t>
        </is>
      </c>
    </row>
    <row r="214">
      <c r="A214" s="15">
        <f>HYPERLINK("https://shoreaquatic.com/shop/swl-diamond-goby-medium","Diamond Goby (Medium)")</f>
        <v/>
      </c>
      <c r="B214" s="16" t="inlineStr"/>
      <c r="C214" s="17" t="inlineStr">
        <is>
          <t>Medium</t>
        </is>
      </c>
      <c r="D214" s="17" t="inlineStr">
        <is>
          <t>Ask / Seasonal</t>
        </is>
      </c>
    </row>
    <row r="215">
      <c r="A215" s="15">
        <f>HYPERLINK("https://shoreaquatic.com/shop/swl-diamond-goby-medium-large","Diamond Goby (Medium/Large)")</f>
        <v/>
      </c>
      <c r="B215" s="16" t="inlineStr"/>
      <c r="C215" s="17" t="inlineStr">
        <is>
          <t>Medium/Large</t>
        </is>
      </c>
      <c r="D215" s="17" t="inlineStr">
        <is>
          <t>Ask / Seasonal</t>
        </is>
      </c>
    </row>
    <row r="216">
      <c r="A216" s="15">
        <f>HYPERLINK("https://shoreaquatic.com/shop/swl-dispar-anthias-medium-large","Dispar Anthias (Medium/Large)")</f>
        <v/>
      </c>
      <c r="B216" s="16" t="inlineStr"/>
      <c r="C216" s="17" t="inlineStr">
        <is>
          <t>Medium/Large</t>
        </is>
      </c>
      <c r="D216" s="17" t="inlineStr">
        <is>
          <t>Ask / Seasonal</t>
        </is>
      </c>
    </row>
    <row r="217">
      <c r="A217" s="15">
        <f>HYPERLINK("https://shoreaquatic.com/shop/swl-divided-wrasse-large","Divided Wrasse (Large)")</f>
        <v/>
      </c>
      <c r="B217" s="16" t="inlineStr"/>
      <c r="C217" s="17" t="inlineStr">
        <is>
          <t>Large</t>
        </is>
      </c>
      <c r="D217" s="17" t="inlineStr">
        <is>
          <t>Ask / Seasonal</t>
        </is>
      </c>
    </row>
    <row r="218">
      <c r="A218" s="15">
        <f>HYPERLINK("https://shoreaquatic.com/shop/swl-divided-wrasse-medium","Divided Wrasse (Medium)")</f>
        <v/>
      </c>
      <c r="B218" s="16" t="inlineStr"/>
      <c r="C218" s="17" t="inlineStr">
        <is>
          <t>Medium</t>
        </is>
      </c>
      <c r="D218" s="17" t="inlineStr">
        <is>
          <t>Ask / Seasonal</t>
        </is>
      </c>
    </row>
    <row r="219">
      <c r="A219" s="15">
        <f>HYPERLINK("https://shoreaquatic.com/shop/swl-divided-wrasse-s-m","Divided Wrasse (S/M)")</f>
        <v/>
      </c>
      <c r="B219" s="16" t="inlineStr"/>
      <c r="C219" s="17" t="inlineStr">
        <is>
          <t>S/M</t>
        </is>
      </c>
      <c r="D219" s="17" t="inlineStr">
        <is>
          <t>Ask / Seasonal</t>
        </is>
      </c>
    </row>
    <row r="220">
      <c r="A220" s="15">
        <f>HYPERLINK("https://shoreaquatic.com/shop/swl-divided-wrasse-male-medium-large","Divided Wrasse Male (Medium/Large)")</f>
        <v/>
      </c>
      <c r="B220" s="16" t="inlineStr"/>
      <c r="C220" s="17" t="inlineStr">
        <is>
          <t>Medium/Large</t>
        </is>
      </c>
      <c r="D220" s="17" t="inlineStr">
        <is>
          <t>Ask / Seasonal</t>
        </is>
      </c>
    </row>
    <row r="221">
      <c r="A221" s="15">
        <f>HYPERLINK("https://shoreaquatic.com/shop/swl-dogface-puffer-medium-large","Dogface Puffer (Medium/Large)")</f>
        <v/>
      </c>
      <c r="B221" s="16" t="inlineStr"/>
      <c r="C221" s="17" t="inlineStr">
        <is>
          <t>Medium/Large</t>
        </is>
      </c>
      <c r="D221" s="17" t="inlineStr">
        <is>
          <t>Ask / Seasonal</t>
        </is>
      </c>
    </row>
    <row r="222">
      <c r="A222" s="15">
        <f>HYPERLINK("https://shoreaquatic.com/shop/swl-domino-damsel-5pk","Domino Damsel \u2014 5 Pack")</f>
        <v/>
      </c>
      <c r="B222" s="16" t="inlineStr"/>
      <c r="C222" s="17" t="inlineStr">
        <is>
          <t>5-pack</t>
        </is>
      </c>
      <c r="D222" s="17" t="inlineStr">
        <is>
          <t>Ask / Seasonal</t>
        </is>
      </c>
    </row>
    <row r="223">
      <c r="A223" s="15">
        <f>HYPERLINK("https://shoreaquatic.com/shop/swl-dragon-wrasse-medium","Dragon Wrasse (Medium)")</f>
        <v/>
      </c>
      <c r="B223" s="16" t="inlineStr"/>
      <c r="C223" s="17" t="inlineStr">
        <is>
          <t>Medium</t>
        </is>
      </c>
      <c r="D223" s="17" t="inlineStr">
        <is>
          <t>Ask / Seasonal</t>
        </is>
      </c>
    </row>
    <row r="224">
      <c r="A224" s="15">
        <f>HYPERLINK("https://shoreaquatic.com/shop/swl-eel-mexican-dragon","Eel: Mexican Dragon")</f>
        <v/>
      </c>
      <c r="B224" s="16" t="inlineStr">
        <is>
          <t>Muraena Lentiginosa</t>
        </is>
      </c>
      <c r="C224" s="17" t="inlineStr"/>
      <c r="D224" s="17" t="inlineStr">
        <is>
          <t>Ask / Seasonal</t>
        </is>
      </c>
    </row>
    <row r="225">
      <c r="A225" s="15">
        <f>HYPERLINK("https://shoreaquatic.com/shop/swl-eel-zebra-moray","Eel: Zebra Moray")</f>
        <v/>
      </c>
      <c r="B225" s="16" t="inlineStr">
        <is>
          <t>Gymnomuraena Zebra</t>
        </is>
      </c>
      <c r="C225" s="17" t="inlineStr"/>
      <c r="D225" s="17" t="inlineStr">
        <is>
          <t>Ask / Seasonal</t>
        </is>
      </c>
    </row>
    <row r="226">
      <c r="A226" s="15">
        <f>HYPERLINK("https://shoreaquatic.com/shop/swl-eibili-angel-medium","Eibili Angel (Medium)")</f>
        <v/>
      </c>
      <c r="B226" s="16" t="inlineStr"/>
      <c r="C226" s="17" t="inlineStr">
        <is>
          <t>Medium</t>
        </is>
      </c>
      <c r="D226" s="17" t="inlineStr">
        <is>
          <t>Ask / Seasonal</t>
        </is>
      </c>
    </row>
    <row r="227">
      <c r="A227" s="15">
        <f>HYPERLINK("https://shoreaquatic.com/shop/swl-emperor-angel-adult-medium-large","Emperor Angel Adult (Medium/Large)")</f>
        <v/>
      </c>
      <c r="B227" s="16" t="inlineStr"/>
      <c r="C227" s="17" t="inlineStr">
        <is>
          <t>Medium/Large</t>
        </is>
      </c>
      <c r="D227" s="17" t="inlineStr">
        <is>
          <t>Ask / Seasonal</t>
        </is>
      </c>
    </row>
    <row r="228">
      <c r="A228" s="15">
        <f>HYPERLINK("https://shoreaquatic.com/shop/swl-emperor-angel-juv-small","Emperor Angel Juv (Small)")</f>
        <v/>
      </c>
      <c r="B228" s="16" t="inlineStr"/>
      <c r="C228" s="17" t="inlineStr">
        <is>
          <t>Small</t>
        </is>
      </c>
      <c r="D228" s="17" t="inlineStr">
        <is>
          <t>Ask / Seasonal</t>
        </is>
      </c>
    </row>
    <row r="229">
      <c r="A229" s="15">
        <f>HYPERLINK("https://shoreaquatic.com/shop/swl-engineer-goby-small","Engineer Goby (Small)")</f>
        <v/>
      </c>
      <c r="B229" s="16" t="inlineStr"/>
      <c r="C229" s="17" t="inlineStr">
        <is>
          <t>Small</t>
        </is>
      </c>
      <c r="D229" s="17" t="inlineStr">
        <is>
          <t>Ask / Seasonal</t>
        </is>
      </c>
    </row>
    <row r="230">
      <c r="A230" s="15">
        <f>HYPERLINK("https://shoreaquatic.com/shop/swl-exquisite-wrasse-large","Exquisite Wrasse (Large)")</f>
        <v/>
      </c>
      <c r="B230" s="16" t="inlineStr"/>
      <c r="C230" s="17" t="inlineStr">
        <is>
          <t>Large</t>
        </is>
      </c>
      <c r="D230" s="17" t="inlineStr">
        <is>
          <t>Ask / Seasonal</t>
        </is>
      </c>
    </row>
    <row r="231">
      <c r="A231" s="15">
        <f>HYPERLINK("https://shoreaquatic.com/shop/swl-exquisite-wrasse-medium","Exquisite Wrasse (Medium)")</f>
        <v/>
      </c>
      <c r="B231" s="16" t="inlineStr"/>
      <c r="C231" s="17" t="inlineStr">
        <is>
          <t>Medium</t>
        </is>
      </c>
      <c r="D231" s="17" t="inlineStr">
        <is>
          <t>Ask / Seasonal</t>
        </is>
      </c>
    </row>
    <row r="232">
      <c r="A232" s="15">
        <f>HYPERLINK("https://shoreaquatic.com/shop/swl-extreme-misbar-orange-ocellaris-medium","Extreme Misbar Orange Ocellaris (Medium)")</f>
        <v/>
      </c>
      <c r="B232" s="16" t="inlineStr"/>
      <c r="C232" s="17" t="inlineStr">
        <is>
          <t>Medium</t>
        </is>
      </c>
      <c r="D232" s="17" t="inlineStr">
        <is>
          <t>Ask / Seasonal</t>
        </is>
      </c>
    </row>
    <row r="233">
      <c r="A233" s="15">
        <f>HYPERLINK("https://shoreaquatic.com/shop/swl-false-eye-toby-puffer-medium","False Eye Toby Puffer (Medium)")</f>
        <v/>
      </c>
      <c r="B233" s="16" t="inlineStr"/>
      <c r="C233" s="17" t="inlineStr">
        <is>
          <t>Medium</t>
        </is>
      </c>
      <c r="D233" s="17" t="inlineStr">
        <is>
          <t>Ask / Seasonal</t>
        </is>
      </c>
    </row>
    <row r="234">
      <c r="A234" s="15">
        <f>HYPERLINK("https://shoreaquatic.com/shop/swl-feather-duster-s-m","Feather Duster (S/M)")</f>
        <v/>
      </c>
      <c r="B234" s="16" t="inlineStr"/>
      <c r="C234" s="17" t="inlineStr">
        <is>
          <t>S/M</t>
        </is>
      </c>
      <c r="D234" s="17" t="inlineStr">
        <is>
          <t>Ask / Seasonal</t>
        </is>
      </c>
    </row>
    <row r="235">
      <c r="A235" s="15">
        <f>HYPERLINK("https://shoreaquatic.com/shop/swl-female-squamipinnus-anthias-medium","Female Squamipinnus Anthias (Medium)")</f>
        <v/>
      </c>
      <c r="B235" s="16" t="inlineStr"/>
      <c r="C235" s="17" t="inlineStr">
        <is>
          <t>Medium</t>
        </is>
      </c>
      <c r="D235" s="17" t="inlineStr">
        <is>
          <t>Ask / Seasonal</t>
        </is>
      </c>
    </row>
    <row r="236">
      <c r="A236" s="15">
        <f>HYPERLINK("https://shoreaquatic.com/shop/swl-female-squamipinnus-anthias-medium-large","Female Squamipinnus Anthias (Medium/Large)")</f>
        <v/>
      </c>
      <c r="B236" s="16" t="inlineStr"/>
      <c r="C236" s="17" t="inlineStr">
        <is>
          <t>Medium/Large</t>
        </is>
      </c>
      <c r="D236" s="17" t="inlineStr">
        <is>
          <t>Ask / Seasonal</t>
        </is>
      </c>
    </row>
    <row r="237">
      <c r="A237" s="15">
        <f>HYPERLINK("https://shoreaquatic.com/shop/swl-firefish-goby-medium-large","Firefish Goby (Medium/Large)")</f>
        <v/>
      </c>
      <c r="B237" s="16" t="inlineStr"/>
      <c r="C237" s="17" t="inlineStr">
        <is>
          <t>Medium/Large</t>
        </is>
      </c>
      <c r="D237" s="17" t="inlineStr">
        <is>
          <t>Ask / Seasonal</t>
        </is>
      </c>
    </row>
    <row r="238">
      <c r="A238" s="15">
        <f>HYPERLINK("https://shoreaquatic.com/shop/swl-firefish-goby-africa-extra-large","Firefish Goby Africa (Extra Large)")</f>
        <v/>
      </c>
      <c r="B238" s="16" t="inlineStr"/>
      <c r="C238" s="17" t="inlineStr">
        <is>
          <t>Extra Large</t>
        </is>
      </c>
      <c r="D238" s="17" t="inlineStr">
        <is>
          <t>Ask / Seasonal</t>
        </is>
      </c>
    </row>
    <row r="239">
      <c r="A239" s="15">
        <f>HYPERLINK("https://shoreaquatic.com/shop/swl-flagfin-angel-juv-small","Flagfin Angel Juv (Small)")</f>
        <v/>
      </c>
      <c r="B239" s="16" t="inlineStr"/>
      <c r="C239" s="17" t="inlineStr">
        <is>
          <t>Small</t>
        </is>
      </c>
      <c r="D239" s="17" t="inlineStr">
        <is>
          <t>Ask / Seasonal</t>
        </is>
      </c>
    </row>
    <row r="240">
      <c r="A240" s="15">
        <f>HYPERLINK("https://shoreaquatic.com/shop/swl-flame-back-pygmy-angel-medium-large","Flame Back Pygmy Angel (Medium/Large)")</f>
        <v/>
      </c>
      <c r="B240" s="16" t="inlineStr"/>
      <c r="C240" s="17" t="inlineStr">
        <is>
          <t>Medium/Large</t>
        </is>
      </c>
      <c r="D240" s="17" t="inlineStr">
        <is>
          <t>Ask / Seasonal</t>
        </is>
      </c>
    </row>
    <row r="241">
      <c r="A241" s="15">
        <f>HYPERLINK("https://shoreaquatic.com/shop/swl-flame-hawk-large","Flame Hawk (Large)")</f>
        <v/>
      </c>
      <c r="B241" s="16" t="inlineStr"/>
      <c r="C241" s="17" t="inlineStr">
        <is>
          <t>Large</t>
        </is>
      </c>
      <c r="D241" s="17" t="inlineStr">
        <is>
          <t>Ask / Seasonal</t>
        </is>
      </c>
    </row>
    <row r="242">
      <c r="A242" s="15">
        <f>HYPERLINK("https://shoreaquatic.com/shop/swl-fork-tail-rabbit-fish-medium","Fork Tail Rabbit Fish (Medium)")</f>
        <v/>
      </c>
      <c r="B242" s="16" t="inlineStr"/>
      <c r="C242" s="17" t="inlineStr">
        <is>
          <t>Medium</t>
        </is>
      </c>
      <c r="D242" s="17" t="inlineStr">
        <is>
          <t>Ask / Seasonal</t>
        </is>
      </c>
    </row>
    <row r="243">
      <c r="A243" s="15">
        <f>HYPERLINK("https://shoreaquatic.com/shop/swl-foxface-fiji-large","Foxface Fiji (Large)")</f>
        <v/>
      </c>
      <c r="B243" s="16" t="inlineStr"/>
      <c r="C243" s="17" t="inlineStr">
        <is>
          <t>Large</t>
        </is>
      </c>
      <c r="D243" s="17" t="inlineStr">
        <is>
          <t>Ask / Seasonal</t>
        </is>
      </c>
    </row>
    <row r="244">
      <c r="A244" s="15">
        <f>HYPERLINK("https://shoreaquatic.com/shop/swl-foxface-fiji-medium","Foxface Fiji (Medium)")</f>
        <v/>
      </c>
      <c r="B244" s="16" t="inlineStr"/>
      <c r="C244" s="17" t="inlineStr">
        <is>
          <t>Medium</t>
        </is>
      </c>
      <c r="D244" s="17" t="inlineStr">
        <is>
          <t>Ask / Seasonal</t>
        </is>
      </c>
    </row>
    <row r="245">
      <c r="A245" s="15">
        <f>HYPERLINK("https://shoreaquatic.com/shop/swl-freckled-tang-medium","Freckled Tang (Medium)")</f>
        <v/>
      </c>
      <c r="B245" s="16" t="inlineStr"/>
      <c r="C245" s="17" t="inlineStr">
        <is>
          <t>Medium</t>
        </is>
      </c>
      <c r="D245" s="17" t="inlineStr">
        <is>
          <t>Ask / Seasonal</t>
        </is>
      </c>
    </row>
    <row r="246">
      <c r="A246" s="15">
        <f>HYPERLINK("https://shoreaquatic.com/shop/swl-french-angel-extra-large","French Angel (Extra Large)")</f>
        <v/>
      </c>
      <c r="B246" s="16" t="inlineStr"/>
      <c r="C246" s="17" t="inlineStr">
        <is>
          <t>Extra Large</t>
        </is>
      </c>
      <c r="D246" s="17" t="inlineStr">
        <is>
          <t>Ask / Seasonal</t>
        </is>
      </c>
    </row>
    <row r="247">
      <c r="A247" s="15">
        <f>HYPERLINK("https://shoreaquatic.com/shop/swl-french-angel-medium-large","French Angel (Medium/Large)")</f>
        <v/>
      </c>
      <c r="B247" s="16" t="inlineStr"/>
      <c r="C247" s="17" t="inlineStr">
        <is>
          <t>Medium/Large</t>
        </is>
      </c>
      <c r="D247" s="17" t="inlineStr">
        <is>
          <t>Ask / Seasonal</t>
        </is>
      </c>
    </row>
    <row r="248">
      <c r="A248" s="15">
        <f>HYPERLINK("https://shoreaquatic.com/shop/swl-garden-eel-medium","Garden Eel (Medium)")</f>
        <v/>
      </c>
      <c r="B248" s="16" t="inlineStr"/>
      <c r="C248" s="17" t="inlineStr">
        <is>
          <t>Medium</t>
        </is>
      </c>
      <c r="D248" s="17" t="inlineStr">
        <is>
          <t>Ask / Seasonal</t>
        </is>
      </c>
    </row>
    <row r="249">
      <c r="A249" s="15">
        <f>HYPERLINK("https://shoreaquatic.com/shop/swl-gladiator-da-vinci-clown-medium","Gladiator / Da Vinci Clown (Medium)")</f>
        <v/>
      </c>
      <c r="B249" s="16" t="inlineStr"/>
      <c r="C249" s="17" t="inlineStr">
        <is>
          <t>Medium</t>
        </is>
      </c>
      <c r="D249" s="17" t="inlineStr">
        <is>
          <t>Ask / Seasonal</t>
        </is>
      </c>
    </row>
    <row r="250">
      <c r="A250" s="15">
        <f>HYPERLINK("https://shoreaquatic.com/shop/swl-goby-red-head","Goby: Red Head")</f>
        <v/>
      </c>
      <c r="B250" s="16" t="inlineStr">
        <is>
          <t>Elacatinus Puncticulatus</t>
        </is>
      </c>
      <c r="C250" s="17" t="inlineStr"/>
      <c r="D250" s="17" t="inlineStr">
        <is>
          <t>Ask / Seasonal</t>
        </is>
      </c>
    </row>
    <row r="251">
      <c r="A251" s="15">
        <f>HYPERLINK("https://shoreaquatic.com/shop/swl-gold-head-sleeper-goby-large","Gold Head Sleeper Goby (Large)")</f>
        <v/>
      </c>
      <c r="B251" s="16" t="inlineStr"/>
      <c r="C251" s="17" t="inlineStr">
        <is>
          <t>Large</t>
        </is>
      </c>
      <c r="D251" s="17" t="inlineStr">
        <is>
          <t>Ask / Seasonal</t>
        </is>
      </c>
    </row>
    <row r="252">
      <c r="A252" s="15">
        <f>HYPERLINK("https://shoreaquatic.com/shop/swl-gold-head-sleeper-goby-medium","Gold Head Sleeper Goby (Medium)")</f>
        <v/>
      </c>
      <c r="B252" s="16" t="inlineStr"/>
      <c r="C252" s="17" t="inlineStr">
        <is>
          <t>Medium</t>
        </is>
      </c>
      <c r="D252" s="17" t="inlineStr">
        <is>
          <t>Ask / Seasonal</t>
        </is>
      </c>
    </row>
    <row r="253">
      <c r="A253" s="15">
        <f>HYPERLINK("https://shoreaquatic.com/shop/swl-gold-head-sleeper-goby-small","Gold Head Sleeper Goby (Small)")</f>
        <v/>
      </c>
      <c r="B253" s="16" t="inlineStr"/>
      <c r="C253" s="17" t="inlineStr">
        <is>
          <t>Small</t>
        </is>
      </c>
      <c r="D253" s="17" t="inlineStr">
        <is>
          <t>Ask / Seasonal</t>
        </is>
      </c>
    </row>
    <row r="254">
      <c r="A254" s="15">
        <f>HYPERLINK("https://shoreaquatic.com/shop/swl-gold-nugget-clown-medium","Gold Nugget Clown (Medium)")</f>
        <v/>
      </c>
      <c r="B254" s="16" t="inlineStr"/>
      <c r="C254" s="17" t="inlineStr">
        <is>
          <t>Medium</t>
        </is>
      </c>
      <c r="D254" s="17" t="inlineStr">
        <is>
          <t>Ask / Seasonal</t>
        </is>
      </c>
    </row>
    <row r="255">
      <c r="A255" s="15">
        <f>HYPERLINK("https://shoreaquatic.com/shop/swl-gold-nugget-wrasse-medium-large","Gold Nugget Wrasse (Medium/Large)")</f>
        <v/>
      </c>
      <c r="B255" s="16" t="inlineStr"/>
      <c r="C255" s="17" t="inlineStr">
        <is>
          <t>Medium/Large</t>
        </is>
      </c>
      <c r="D255" s="17" t="inlineStr">
        <is>
          <t>Ask / Seasonal</t>
        </is>
      </c>
    </row>
    <row r="256">
      <c r="A256" s="15">
        <f>HYPERLINK("https://shoreaquatic.com/shop/swl-golden-angel-medium","Golden Angel (Medium)")</f>
        <v/>
      </c>
      <c r="B256" s="16" t="inlineStr"/>
      <c r="C256" s="17" t="inlineStr">
        <is>
          <t>Medium</t>
        </is>
      </c>
      <c r="D256" s="17" t="inlineStr">
        <is>
          <t>Ask / Seasonal</t>
        </is>
      </c>
    </row>
    <row r="257">
      <c r="A257" s="15">
        <f>HYPERLINK("https://shoreaquatic.com/shop/swl-green-chromis-5pk","Green Chromis \u2014 5 Pack")</f>
        <v/>
      </c>
      <c r="B257" s="16" t="inlineStr"/>
      <c r="C257" s="17" t="inlineStr">
        <is>
          <t>5-pack</t>
        </is>
      </c>
      <c r="D257" s="17" t="inlineStr">
        <is>
          <t>Ask / Seasonal</t>
        </is>
      </c>
    </row>
    <row r="258">
      <c r="A258" s="15">
        <f>HYPERLINK("https://shoreaquatic.com/shop/swl-green-coris-wrasse-medium","Green Coris Wrasse (Medium)")</f>
        <v/>
      </c>
      <c r="B258" s="16" t="inlineStr"/>
      <c r="C258" s="17" t="inlineStr">
        <is>
          <t>Medium</t>
        </is>
      </c>
      <c r="D258" s="17" t="inlineStr">
        <is>
          <t>Ask / Seasonal</t>
        </is>
      </c>
    </row>
    <row r="259">
      <c r="A259" s="15">
        <f>HYPERLINK("https://shoreaquatic.com/shop/swl-green-file-fish-medium","Green File Fish (Medium)")</f>
        <v/>
      </c>
      <c r="B259" s="16" t="inlineStr"/>
      <c r="C259" s="17" t="inlineStr">
        <is>
          <t>Medium</t>
        </is>
      </c>
      <c r="D259" s="17" t="inlineStr">
        <is>
          <t>Ask / Seasonal</t>
        </is>
      </c>
    </row>
    <row r="260">
      <c r="A260" s="15">
        <f>HYPERLINK("https://shoreaquatic.com/shop/swl-grey-poma-angel-juv-medium","Grey Poma Angel Juv (Medium)")</f>
        <v/>
      </c>
      <c r="B260" s="16" t="inlineStr"/>
      <c r="C260" s="17" t="inlineStr">
        <is>
          <t>Medium</t>
        </is>
      </c>
      <c r="D260" s="17" t="inlineStr">
        <is>
          <t>Ask / Seasonal</t>
        </is>
      </c>
    </row>
    <row r="261">
      <c r="A261" s="15">
        <f>HYPERLINK("https://shoreaquatic.com/shop/swl-harlequin-tusk-medium","Harlequin Tusk (Medium)")</f>
        <v/>
      </c>
      <c r="B261" s="16" t="inlineStr"/>
      <c r="C261" s="17" t="inlineStr">
        <is>
          <t>Medium</t>
        </is>
      </c>
      <c r="D261" s="17" t="inlineStr">
        <is>
          <t>Ask / Seasonal</t>
        </is>
      </c>
    </row>
    <row r="262">
      <c r="A262" s="15">
        <f>HYPERLINK("https://shoreaquatic.com/shop/swl-harlequin-tusk-medium-large","Harlequin Tusk (Medium/Large)")</f>
        <v/>
      </c>
      <c r="B262" s="16" t="inlineStr"/>
      <c r="C262" s="17" t="inlineStr">
        <is>
          <t>Medium/Large</t>
        </is>
      </c>
      <c r="D262" s="17" t="inlineStr">
        <is>
          <t>Ask / Seasonal</t>
        </is>
      </c>
    </row>
    <row r="263">
      <c r="A263" s="15">
        <f>HYPERLINK("https://shoreaquatic.com/shop/swl-hawfish-flame","Hawfish: Flame")</f>
        <v/>
      </c>
      <c r="B263" s="16" t="inlineStr">
        <is>
          <t>Neocirrhites Armatus</t>
        </is>
      </c>
      <c r="C263" s="17" t="inlineStr"/>
      <c r="D263" s="17" t="inlineStr">
        <is>
          <t>Ask / Seasonal</t>
        </is>
      </c>
    </row>
    <row r="264">
      <c r="A264" s="15">
        <f>HYPERLINK("https://shoreaquatic.com/shop/swl-hawkfish-longnose","Hawkfish: Longnose")</f>
        <v/>
      </c>
      <c r="B264" s="16" t="inlineStr">
        <is>
          <t>Oxycirrhites Typus</t>
        </is>
      </c>
      <c r="C264" s="17" t="inlineStr"/>
      <c r="D264" s="17" t="inlineStr">
        <is>
          <t>Ask / Seasonal</t>
        </is>
      </c>
    </row>
    <row r="265">
      <c r="A265" s="15">
        <f>HYPERLINK("https://shoreaquatic.com/shop/swl-hector-goby-medium","Hector Goby (Medium)")</f>
        <v/>
      </c>
      <c r="B265" s="16" t="inlineStr"/>
      <c r="C265" s="17" t="inlineStr">
        <is>
          <t>Medium</t>
        </is>
      </c>
      <c r="D265" s="17" t="inlineStr">
        <is>
          <t>Ask / Seasonal</t>
        </is>
      </c>
    </row>
    <row r="266">
      <c r="A266" s="15">
        <f>HYPERLINK("https://shoreaquatic.com/shop/swl-humu-humu-trigger-small","Humu Humu Trigger (Small)")</f>
        <v/>
      </c>
      <c r="B266" s="16" t="inlineStr"/>
      <c r="C266" s="17" t="inlineStr">
        <is>
          <t>Small</t>
        </is>
      </c>
      <c r="D266" s="17" t="inlineStr">
        <is>
          <t>Ask / Seasonal</t>
        </is>
      </c>
    </row>
    <row r="267">
      <c r="A267" s="15">
        <f>HYPERLINK("https://shoreaquatic.com/shop/swl-indigo-hamlet-medium-large","Indigo Hamlet (Medium/Large)")</f>
        <v/>
      </c>
      <c r="B267" s="16" t="inlineStr"/>
      <c r="C267" s="17" t="inlineStr">
        <is>
          <t>Medium/Large</t>
        </is>
      </c>
      <c r="D267" s="17" t="inlineStr">
        <is>
          <t>Ask / Seasonal</t>
        </is>
      </c>
    </row>
    <row r="268">
      <c r="A268" s="15">
        <f>HYPERLINK("https://shoreaquatic.com/shop/swl-jawfish-blue-spotted","Jawfish: Blue Spotted")</f>
        <v/>
      </c>
      <c r="B268" s="16" t="inlineStr">
        <is>
          <t>Opistognathus Rosenblatti</t>
        </is>
      </c>
      <c r="C268" s="17" t="inlineStr"/>
      <c r="D268" s="17" t="inlineStr">
        <is>
          <t>Ask / Seasonal</t>
        </is>
      </c>
    </row>
    <row r="269">
      <c r="A269" s="15">
        <f>HYPERLINK("https://shoreaquatic.com/shop/swl-kleins-butterfly-s-m","Kleins Butterfly (S/M)")</f>
        <v/>
      </c>
      <c r="B269" s="16" t="inlineStr"/>
      <c r="C269" s="17" t="inlineStr">
        <is>
          <t>S/M</t>
        </is>
      </c>
      <c r="D269" s="17" t="inlineStr">
        <is>
          <t>Ask / Seasonal</t>
        </is>
      </c>
    </row>
    <row r="270">
      <c r="A270" s="15">
        <f>HYPERLINK("https://shoreaquatic.com/shop/swl-lemon-peel-angel-medium-large","Lemon Peel Angel (Medium/Large)")</f>
        <v/>
      </c>
      <c r="B270" s="16" t="inlineStr"/>
      <c r="C270" s="17" t="inlineStr">
        <is>
          <t>Medium/Large</t>
        </is>
      </c>
      <c r="D270" s="17" t="inlineStr">
        <is>
          <t>Ask / Seasonal</t>
        </is>
      </c>
    </row>
    <row r="271">
      <c r="A271" s="15">
        <f>HYPERLINK("https://shoreaquatic.com/shop/swl-leopard-wrasse-phil-medium","Leopard Wrasse Phil (Medium)")</f>
        <v/>
      </c>
      <c r="B271" s="16" t="inlineStr"/>
      <c r="C271" s="17" t="inlineStr">
        <is>
          <t>Medium</t>
        </is>
      </c>
      <c r="D271" s="17" t="inlineStr">
        <is>
          <t>Ask / Seasonal</t>
        </is>
      </c>
    </row>
    <row r="272">
      <c r="A272" s="15">
        <f>HYPERLINK("https://shoreaquatic.com/shop/swl-lightning-maroon-clown-medium","Lightning Maroon Clown (Medium)")</f>
        <v/>
      </c>
      <c r="B272" s="16" t="inlineStr"/>
      <c r="C272" s="17" t="inlineStr">
        <is>
          <t>Medium</t>
        </is>
      </c>
      <c r="D272" s="17" t="inlineStr">
        <is>
          <t>Ask / Seasonal</t>
        </is>
      </c>
    </row>
    <row r="273">
      <c r="A273" s="15">
        <f>HYPERLINK("https://shoreaquatic.com/shop/swl-long-hose-hawk-medium","Long Hose Hawk (Medium)")</f>
        <v/>
      </c>
      <c r="B273" s="16" t="inlineStr"/>
      <c r="C273" s="17" t="inlineStr">
        <is>
          <t>Medium</t>
        </is>
      </c>
      <c r="D273" s="17" t="inlineStr">
        <is>
          <t>Ask / Seasonal</t>
        </is>
      </c>
    </row>
    <row r="274">
      <c r="A274" s="15">
        <f>HYPERLINK("https://shoreaquatic.com/shop/swl-long-nose-butterfly-large","Long Nose Butterfly (Large)")</f>
        <v/>
      </c>
      <c r="B274" s="16" t="inlineStr"/>
      <c r="C274" s="17" t="inlineStr">
        <is>
          <t>Large</t>
        </is>
      </c>
      <c r="D274" s="17" t="inlineStr">
        <is>
          <t>Ask / Seasonal</t>
        </is>
      </c>
    </row>
    <row r="275">
      <c r="A275" s="15">
        <f>HYPERLINK("https://shoreaquatic.com/shop/swl-luitenant-surgeon-tang-medium-large","Luitenant Surgeon Tang (Medium/Large)")</f>
        <v/>
      </c>
      <c r="B275" s="16" t="inlineStr"/>
      <c r="C275" s="17" t="inlineStr">
        <is>
          <t>Medium/Large</t>
        </is>
      </c>
      <c r="D275" s="17" t="inlineStr">
        <is>
          <t>Ask / Seasonal</t>
        </is>
      </c>
    </row>
    <row r="276">
      <c r="A276" s="15">
        <f>HYPERLINK("https://shoreaquatic.com/shop/swl-lunare-wrasse-medium-large","Lunare Wrasse (Medium/Large)")</f>
        <v/>
      </c>
      <c r="B276" s="16" t="inlineStr"/>
      <c r="C276" s="17" t="inlineStr">
        <is>
          <t>Medium/Large</t>
        </is>
      </c>
      <c r="D276" s="17" t="inlineStr">
        <is>
          <t>Ask / Seasonal</t>
        </is>
      </c>
    </row>
    <row r="277">
      <c r="A277" s="15">
        <f>HYPERLINK("https://shoreaquatic.com/shop/swl-magnificent-foxface-medium-large","Magnificent Foxface (Medium/Large)")</f>
        <v/>
      </c>
      <c r="B277" s="16" t="inlineStr"/>
      <c r="C277" s="17" t="inlineStr">
        <is>
          <t>Medium/Large</t>
        </is>
      </c>
      <c r="D277" s="17" t="inlineStr">
        <is>
          <t>Ask / Seasonal</t>
        </is>
      </c>
    </row>
    <row r="278">
      <c r="A278" s="15">
        <f>HYPERLINK("https://shoreaquatic.com/shop/swl-majestic-angel-medium","Majestic Angel (Medium)")</f>
        <v/>
      </c>
      <c r="B278" s="16" t="inlineStr"/>
      <c r="C278" s="17" t="inlineStr">
        <is>
          <t>Medium</t>
        </is>
      </c>
      <c r="D278" s="17" t="inlineStr">
        <is>
          <t>Ask / Seasonal</t>
        </is>
      </c>
    </row>
    <row r="279">
      <c r="A279" s="15">
        <f>HYPERLINK("https://shoreaquatic.com/shop/swl-majestic-angel-medium-large","Majestic Angel (Medium/Large)")</f>
        <v/>
      </c>
      <c r="B279" s="16" t="inlineStr"/>
      <c r="C279" s="17" t="inlineStr">
        <is>
          <t>Medium/Large</t>
        </is>
      </c>
      <c r="D279" s="17" t="inlineStr">
        <is>
          <t>Ask / Seasonal</t>
        </is>
      </c>
    </row>
    <row r="280">
      <c r="A280" s="15">
        <f>HYPERLINK("https://shoreaquatic.com/shop/swl-male-squamipinnus-anthias-large","Male Squamipinnus Anthias (Large)")</f>
        <v/>
      </c>
      <c r="B280" s="16" t="inlineStr"/>
      <c r="C280" s="17" t="inlineStr">
        <is>
          <t>Large</t>
        </is>
      </c>
      <c r="D280" s="17" t="inlineStr">
        <is>
          <t>Ask / Seasonal</t>
        </is>
      </c>
    </row>
    <row r="281">
      <c r="A281" s="15">
        <f>HYPERLINK("https://shoreaquatic.com/shop/swl-male-squamipinnus-anthias-medium","Male Squamipinnus Anthias (Medium)")</f>
        <v/>
      </c>
      <c r="B281" s="16" t="inlineStr"/>
      <c r="C281" s="17" t="inlineStr">
        <is>
          <t>Medium</t>
        </is>
      </c>
      <c r="D281" s="17" t="inlineStr">
        <is>
          <t>Ask / Seasonal</t>
        </is>
      </c>
    </row>
    <row r="282">
      <c r="A282" s="15">
        <f>HYPERLINK("https://shoreaquatic.com/shop/swl-male-squamipinnus-anthias-medium-large","Male Squamipinnus Anthias (Medium/Large)")</f>
        <v/>
      </c>
      <c r="B282" s="16" t="inlineStr"/>
      <c r="C282" s="17" t="inlineStr">
        <is>
          <t>Medium/Large</t>
        </is>
      </c>
      <c r="D282" s="17" t="inlineStr">
        <is>
          <t>Ask / Seasonal</t>
        </is>
      </c>
    </row>
    <row r="283">
      <c r="A283" s="15">
        <f>HYPERLINK("https://shoreaquatic.com/shop/swl-marjorie-s-fairy-wrasse-medium","Marjorie'S Fairy Wrasse (Medium)")</f>
        <v/>
      </c>
      <c r="B283" s="16" t="inlineStr"/>
      <c r="C283" s="17" t="inlineStr">
        <is>
          <t>Medium</t>
        </is>
      </c>
      <c r="D283" s="17" t="inlineStr">
        <is>
          <t>Ask / Seasonal</t>
        </is>
      </c>
    </row>
    <row r="284">
      <c r="A284" s="15">
        <f>HYPERLINK("https://shoreaquatic.com/shop/swl-mata-surgeon-tang-small","Mata Surgeon Tang (Small)")</f>
        <v/>
      </c>
      <c r="B284" s="16" t="inlineStr"/>
      <c r="C284" s="17" t="inlineStr">
        <is>
          <t>Small</t>
        </is>
      </c>
      <c r="D284" s="17" t="inlineStr">
        <is>
          <t>Ask / Seasonal</t>
        </is>
      </c>
    </row>
    <row r="285">
      <c r="A285" s="15">
        <f>HYPERLINK("https://shoreaquatic.com/shop/swl-mccosker-s-flasher-wrasse-medium","Mccosker'S Flasher Wrasse (Medium)")</f>
        <v/>
      </c>
      <c r="B285" s="16" t="inlineStr"/>
      <c r="C285" s="17" t="inlineStr">
        <is>
          <t>Medium</t>
        </is>
      </c>
      <c r="D285" s="17" t="inlineStr">
        <is>
          <t>Ask / Seasonal</t>
        </is>
      </c>
    </row>
    <row r="286">
      <c r="A286" s="15">
        <f>HYPERLINK("https://shoreaquatic.com/shop/swl-melanarus-wrasse-medium-large","Melanarus Wrasse (Medium/Large)")</f>
        <v/>
      </c>
      <c r="B286" s="16" t="inlineStr"/>
      <c r="C286" s="17" t="inlineStr">
        <is>
          <t>Medium/Large</t>
        </is>
      </c>
      <c r="D286" s="17" t="inlineStr">
        <is>
          <t>Ask / Seasonal</t>
        </is>
      </c>
    </row>
    <row r="287">
      <c r="A287" s="15">
        <f>HYPERLINK("https://shoreaquatic.com/shop/swl-melanarus-wrasse-juv-medium","Melanarus Wrasse Juv (Medium)")</f>
        <v/>
      </c>
      <c r="B287" s="16" t="inlineStr"/>
      <c r="C287" s="17" t="inlineStr">
        <is>
          <t>Medium</t>
        </is>
      </c>
      <c r="D287" s="17" t="inlineStr">
        <is>
          <t>Ask / Seasonal</t>
        </is>
      </c>
    </row>
    <row r="288">
      <c r="A288" s="15">
        <f>HYPERLINK("https://shoreaquatic.com/shop/swl-mexican-turbo-snail-5pk","Mexican Turbo Snail \u2014 5 Pack")</f>
        <v/>
      </c>
      <c r="B288" s="16" t="inlineStr"/>
      <c r="C288" s="17" t="inlineStr">
        <is>
          <t>5-pack</t>
        </is>
      </c>
      <c r="D288" s="17" t="inlineStr">
        <is>
          <t>Ask / Seasonal</t>
        </is>
      </c>
    </row>
    <row r="289">
      <c r="A289" s="15">
        <f>HYPERLINK("https://shoreaquatic.com/shop/swl-mexican-turbo-snail-5pk-2","Mexican Turbo Snail \u2014 5 Pack")</f>
        <v/>
      </c>
      <c r="B289" s="16" t="inlineStr"/>
      <c r="C289" s="17" t="inlineStr">
        <is>
          <t>5-pack</t>
        </is>
      </c>
      <c r="D289" s="17" t="inlineStr">
        <is>
          <t>Ask / Seasonal</t>
        </is>
      </c>
    </row>
    <row r="290">
      <c r="A290" s="15">
        <f>HYPERLINK("https://shoreaquatic.com/shop/swl-midas-blenny-medium","Midas Blenny (Medium)")</f>
        <v/>
      </c>
      <c r="B290" s="16" t="inlineStr"/>
      <c r="C290" s="17" t="inlineStr">
        <is>
          <t>Medium</t>
        </is>
      </c>
      <c r="D290" s="17" t="inlineStr">
        <is>
          <t>Ask / Seasonal</t>
        </is>
      </c>
    </row>
    <row r="291">
      <c r="A291" s="15">
        <f>HYPERLINK("https://shoreaquatic.com/shop/swl-midas-blenny-small","Midas Blenny (Small)")</f>
        <v/>
      </c>
      <c r="B291" s="16" t="inlineStr"/>
      <c r="C291" s="17" t="inlineStr">
        <is>
          <t>Small</t>
        </is>
      </c>
      <c r="D291" s="17" t="inlineStr">
        <is>
          <t>Ask / Seasonal</t>
        </is>
      </c>
    </row>
    <row r="292">
      <c r="A292" s="15">
        <f>HYPERLINK("https://shoreaquatic.com/shop/swl-midnight-ocellaris-naked-medium","Midnight Ocellaris (Naked) (Medium)")</f>
        <v/>
      </c>
      <c r="B292" s="16" t="inlineStr"/>
      <c r="C292" s="17" t="inlineStr">
        <is>
          <t>Medium</t>
        </is>
      </c>
      <c r="D292" s="17" t="inlineStr">
        <is>
          <t>Ask / Seasonal</t>
        </is>
      </c>
    </row>
    <row r="293">
      <c r="A293" s="15">
        <f>HYPERLINK("https://shoreaquatic.com/shop/swl-mocha-gladiator-davinci-clown-medium","Mocha Gladiator / Davinci Clown (Medium)")</f>
        <v/>
      </c>
      <c r="B293" s="16" t="inlineStr"/>
      <c r="C293" s="17" t="inlineStr">
        <is>
          <t>Medium</t>
        </is>
      </c>
      <c r="D293" s="17" t="inlineStr">
        <is>
          <t>Ask / Seasonal</t>
        </is>
      </c>
    </row>
    <row r="294">
      <c r="A294" s="15">
        <f>HYPERLINK("https://shoreaquatic.com/shop/swl-moorish-idol-butterfly-medium","Moorish Idol Butterfly (Medium)")</f>
        <v/>
      </c>
      <c r="B294" s="16" t="inlineStr"/>
      <c r="C294" s="17" t="inlineStr">
        <is>
          <t>Medium</t>
        </is>
      </c>
      <c r="D294" s="17" t="inlineStr">
        <is>
          <t>Ask / Seasonal</t>
        </is>
      </c>
    </row>
    <row r="295">
      <c r="A295" s="15">
        <f>HYPERLINK("https://shoreaquatic.com/shop/swl-naoko-s-fairy-wrasse-medium","Naoko'S Fairy Wrasse (Medium)")</f>
        <v/>
      </c>
      <c r="B295" s="16" t="inlineStr"/>
      <c r="C295" s="17" t="inlineStr">
        <is>
          <t>Medium</t>
        </is>
      </c>
      <c r="D295" s="17" t="inlineStr">
        <is>
          <t>Ask / Seasonal</t>
        </is>
      </c>
    </row>
    <row r="296">
      <c r="A296" s="15">
        <f>HYPERLINK("https://shoreaquatic.com/shop/swl-naso-tang-medium","Naso Tang (Medium)")</f>
        <v/>
      </c>
      <c r="B296" s="16" t="inlineStr"/>
      <c r="C296" s="17" t="inlineStr">
        <is>
          <t>Medium</t>
        </is>
      </c>
      <c r="D296" s="17" t="inlineStr">
        <is>
          <t>Ask / Seasonal</t>
        </is>
      </c>
    </row>
    <row r="297">
      <c r="A297" s="15">
        <f>HYPERLINK("https://shoreaquatic.com/shop/swl-naso-tang-juv-s-m","Naso Tang Juv (S/M)")</f>
        <v/>
      </c>
      <c r="B297" s="16" t="inlineStr"/>
      <c r="C297" s="17" t="inlineStr">
        <is>
          <t>S/M</t>
        </is>
      </c>
      <c r="D297" s="17" t="inlineStr">
        <is>
          <t>Ask / Seasonal</t>
        </is>
      </c>
    </row>
    <row r="298">
      <c r="A298" s="15">
        <f>HYPERLINK("https://shoreaquatic.com/shop/swl-neon-dottyback-medium","Neon Dottyback (Medium)")</f>
        <v/>
      </c>
      <c r="B298" s="16" t="inlineStr"/>
      <c r="C298" s="17" t="inlineStr">
        <is>
          <t>Medium</t>
        </is>
      </c>
      <c r="D298" s="17" t="inlineStr">
        <is>
          <t>Ask / Seasonal</t>
        </is>
      </c>
    </row>
    <row r="299">
      <c r="A299" s="15">
        <f>HYPERLINK("https://shoreaquatic.com/shop/swl-neon-goby-medium-large","Neon Goby (Medium/Large)")</f>
        <v/>
      </c>
      <c r="B299" s="16" t="inlineStr"/>
      <c r="C299" s="17" t="inlineStr">
        <is>
          <t>Medium/Large</t>
        </is>
      </c>
      <c r="D299" s="17" t="inlineStr">
        <is>
          <t>Ask / Seasonal</t>
        </is>
      </c>
    </row>
    <row r="300">
      <c r="A300" s="15">
        <f>HYPERLINK("https://shoreaquatic.com/shop/swl-niger-trigger-medium","Niger Trigger (Medium)")</f>
        <v/>
      </c>
      <c r="B300" s="16" t="inlineStr"/>
      <c r="C300" s="17" t="inlineStr">
        <is>
          <t>Medium</t>
        </is>
      </c>
      <c r="D300" s="17" t="inlineStr">
        <is>
          <t>Ask / Seasonal</t>
        </is>
      </c>
    </row>
    <row r="301">
      <c r="A301" s="15">
        <f>HYPERLINK("https://shoreaquatic.com/shop/swl-onyx-clown-medium","Onyx Clown (Medium)")</f>
        <v/>
      </c>
      <c r="B301" s="16" t="inlineStr"/>
      <c r="C301" s="17" t="inlineStr">
        <is>
          <t>Medium</t>
        </is>
      </c>
      <c r="D301" s="17" t="inlineStr">
        <is>
          <t>Ask / Seasonal</t>
        </is>
      </c>
    </row>
    <row r="302">
      <c r="A302" s="15">
        <f>HYPERLINK("https://shoreaquatic.com/shop/swl-orange-back-wrasse-medium","Orange Back Wrasse (Medium)")</f>
        <v/>
      </c>
      <c r="B302" s="16" t="inlineStr"/>
      <c r="C302" s="17" t="inlineStr">
        <is>
          <t>Medium</t>
        </is>
      </c>
      <c r="D302" s="17" t="inlineStr">
        <is>
          <t>Ask / Seasonal</t>
        </is>
      </c>
    </row>
    <row r="303">
      <c r="A303" s="15">
        <f>HYPERLINK("https://shoreaquatic.com/shop/swl-orange-domino-damsel-medium","Orange Domino Damsel (Medium)")</f>
        <v/>
      </c>
      <c r="B303" s="16" t="inlineStr"/>
      <c r="C303" s="17" t="inlineStr">
        <is>
          <t>Medium</t>
        </is>
      </c>
      <c r="D303" s="17" t="inlineStr">
        <is>
          <t>Ask / Seasonal</t>
        </is>
      </c>
    </row>
    <row r="304">
      <c r="A304" s="15">
        <f>HYPERLINK("https://shoreaquatic.com/shop/swl-orange-lined-bristle-tooth-tang-medium","Orange Lined Bristle Tooth Tang (Medium)")</f>
        <v/>
      </c>
      <c r="B304" s="16" t="inlineStr"/>
      <c r="C304" s="17" t="inlineStr">
        <is>
          <t>Medium</t>
        </is>
      </c>
      <c r="D304" s="17" t="inlineStr">
        <is>
          <t>Ask / Seasonal</t>
        </is>
      </c>
    </row>
    <row r="305">
      <c r="A305" s="15">
        <f>HYPERLINK("https://shoreaquatic.com/shop/swl-orange-storm-clown-medium","Orange Storm Clown (Medium)")</f>
        <v/>
      </c>
      <c r="B305" s="16" t="inlineStr"/>
      <c r="C305" s="17" t="inlineStr">
        <is>
          <t>Medium</t>
        </is>
      </c>
      <c r="D305" s="17" t="inlineStr">
        <is>
          <t>Ask / Seasonal</t>
        </is>
      </c>
    </row>
    <row r="306">
      <c r="A306" s="15">
        <f>HYPERLINK("https://shoreaquatic.com/shop/swl-orange-toadfish-medium","Orange Toadfish (Medium)")</f>
        <v/>
      </c>
      <c r="B306" s="16" t="inlineStr"/>
      <c r="C306" s="17" t="inlineStr">
        <is>
          <t>Medium</t>
        </is>
      </c>
      <c r="D306" s="17" t="inlineStr">
        <is>
          <t>Ask / Seasonal</t>
        </is>
      </c>
    </row>
    <row r="307">
      <c r="A307" s="15">
        <f>HYPERLINK("https://shoreaquatic.com/shop/swl-orchid-dottyback-medium","Orchid Dottyback (Medium)")</f>
        <v/>
      </c>
      <c r="B307" s="16" t="inlineStr"/>
      <c r="C307" s="17" t="inlineStr">
        <is>
          <t>Medium</t>
        </is>
      </c>
      <c r="D307" s="17" t="inlineStr">
        <is>
          <t>Ask / Seasonal</t>
        </is>
      </c>
    </row>
    <row r="308">
      <c r="A308" s="15">
        <f>HYPERLINK("https://shoreaquatic.com/shop/swl-pj-cardinal-fiji-extra-large","PJ Cardinal Fiji (Extra Large)")</f>
        <v/>
      </c>
      <c r="B308" s="16" t="inlineStr"/>
      <c r="C308" s="17" t="inlineStr">
        <is>
          <t>Extra Large</t>
        </is>
      </c>
      <c r="D308" s="17" t="inlineStr">
        <is>
          <t>Ask / Seasonal</t>
        </is>
      </c>
    </row>
    <row r="309">
      <c r="A309" s="15">
        <f>HYPERLINK("https://shoreaquatic.com/shop/swl-panther-grouper-medium","Panther Grouper (Medium)")</f>
        <v/>
      </c>
      <c r="B309" s="16" t="inlineStr"/>
      <c r="C309" s="17" t="inlineStr">
        <is>
          <t>Medium</t>
        </is>
      </c>
      <c r="D309" s="17" t="inlineStr">
        <is>
          <t>Ask / Seasonal</t>
        </is>
      </c>
    </row>
    <row r="310">
      <c r="A310" s="15">
        <f>HYPERLINK("https://shoreaquatic.com/shop/swl-pearlscale-butterfly-small","Pearlscale Butterfly (Small)")</f>
        <v/>
      </c>
      <c r="B310" s="16" t="inlineStr"/>
      <c r="C310" s="17" t="inlineStr">
        <is>
          <t>Small</t>
        </is>
      </c>
      <c r="D310" s="17" t="inlineStr">
        <is>
          <t>Ask / Seasonal</t>
        </is>
      </c>
    </row>
    <row r="311">
      <c r="A311" s="15">
        <f>HYPERLINK("https://shoreaquatic.com/shop/swl-pearly-jawfish-medium","Pearly Jawfish (Medium)")</f>
        <v/>
      </c>
      <c r="B311" s="16" t="inlineStr"/>
      <c r="C311" s="17" t="inlineStr">
        <is>
          <t>Medium</t>
        </is>
      </c>
      <c r="D311" s="17" t="inlineStr">
        <is>
          <t>Ask / Seasonal</t>
        </is>
      </c>
    </row>
    <row r="312">
      <c r="A312" s="15">
        <f>HYPERLINK("https://shoreaquatic.com/shop/swl-percula-clown-medium","Percula Clown (Medium)")</f>
        <v/>
      </c>
      <c r="B312" s="16" t="inlineStr"/>
      <c r="C312" s="17" t="inlineStr">
        <is>
          <t>Medium</t>
        </is>
      </c>
      <c r="D312" s="17" t="inlineStr">
        <is>
          <t>Ask / Seasonal</t>
        </is>
      </c>
    </row>
    <row r="313">
      <c r="A313" s="15">
        <f>HYPERLINK("https://shoreaquatic.com/shop/swl-platinum-clown-medium","Platinum Clown (Medium)")</f>
        <v/>
      </c>
      <c r="B313" s="16" t="inlineStr"/>
      <c r="C313" s="17" t="inlineStr">
        <is>
          <t>Medium</t>
        </is>
      </c>
      <c r="D313" s="17" t="inlineStr">
        <is>
          <t>Ask / Seasonal</t>
        </is>
      </c>
    </row>
    <row r="314">
      <c r="A314" s="15">
        <f>HYPERLINK("https://shoreaquatic.com/shop/swl-polka-dot-wrasse-medium","Polka Dot Wrasse (Medium)")</f>
        <v/>
      </c>
      <c r="B314" s="16" t="inlineStr"/>
      <c r="C314" s="17" t="inlineStr">
        <is>
          <t>Medium</t>
        </is>
      </c>
      <c r="D314" s="17" t="inlineStr">
        <is>
          <t>Ask / Seasonal</t>
        </is>
      </c>
    </row>
    <row r="315">
      <c r="A315" s="15">
        <f>HYPERLINK("https://shoreaquatic.com/shop/swl-pompano-fish-medium-large","Pompano Fish (Medium/Large)")</f>
        <v/>
      </c>
      <c r="B315" s="16" t="inlineStr"/>
      <c r="C315" s="17" t="inlineStr">
        <is>
          <t>Medium/Large</t>
        </is>
      </c>
      <c r="D315" s="17" t="inlineStr">
        <is>
          <t>Ask / Seasonal</t>
        </is>
      </c>
    </row>
    <row r="316">
      <c r="A316" s="15">
        <f>HYPERLINK("https://shoreaquatic.com/shop/swl-porqpine-puffer-extra-large","Porqpine Puffer (Extra Large)")</f>
        <v/>
      </c>
      <c r="B316" s="16" t="inlineStr"/>
      <c r="C316" s="17" t="inlineStr">
        <is>
          <t>Extra Large</t>
        </is>
      </c>
      <c r="D316" s="17" t="inlineStr">
        <is>
          <t>Ask / Seasonal</t>
        </is>
      </c>
    </row>
    <row r="317">
      <c r="A317" s="15">
        <f>HYPERLINK("https://shoreaquatic.com/shop/swl-powder-blue-tang-medium-large","Powder Blue Tang (Medium/Large)")</f>
        <v/>
      </c>
      <c r="B317" s="16" t="inlineStr"/>
      <c r="C317" s="17" t="inlineStr">
        <is>
          <t>Medium/Large</t>
        </is>
      </c>
      <c r="D317" s="17" t="inlineStr">
        <is>
          <t>Ask / Seasonal</t>
        </is>
      </c>
    </row>
    <row r="318">
      <c r="A318" s="15">
        <f>HYPERLINK("https://shoreaquatic.com/shop/swl-powder-brown-tang-medium-large","Powder Brown Tang (Medium/Large)")</f>
        <v/>
      </c>
      <c r="B318" s="16" t="inlineStr"/>
      <c r="C318" s="17" t="inlineStr">
        <is>
          <t>Medium/Large</t>
        </is>
      </c>
      <c r="D318" s="17" t="inlineStr">
        <is>
          <t>Ask / Seasonal</t>
        </is>
      </c>
    </row>
    <row r="319">
      <c r="A319" s="15">
        <f>HYPERLINK("https://shoreaquatic.com/shop/swl-prickly-octopus-medium","Prickly Octopus (Medium)")</f>
        <v/>
      </c>
      <c r="B319" s="16" t="inlineStr"/>
      <c r="C319" s="17" t="inlineStr">
        <is>
          <t>Medium</t>
        </is>
      </c>
      <c r="D319" s="17" t="inlineStr">
        <is>
          <t>Ask / Seasonal</t>
        </is>
      </c>
    </row>
    <row r="320">
      <c r="A320" s="15">
        <f>HYPERLINK("https://shoreaquatic.com/shop/swl-puffer-guineafowl","Puffer: Guineafowl")</f>
        <v/>
      </c>
      <c r="B320" s="16" t="inlineStr">
        <is>
          <t>Arothron Meleagris</t>
        </is>
      </c>
      <c r="C320" s="17" t="inlineStr"/>
      <c r="D320" s="17" t="inlineStr">
        <is>
          <t>Ask / Seasonal</t>
        </is>
      </c>
    </row>
    <row r="321">
      <c r="A321" s="15">
        <f>HYPERLINK("https://shoreaquatic.com/shop/swl-purple-firefish-goby-medium","Purple Firefish Goby (Medium)")</f>
        <v/>
      </c>
      <c r="B321" s="16" t="inlineStr"/>
      <c r="C321" s="17" t="inlineStr">
        <is>
          <t>Medium</t>
        </is>
      </c>
      <c r="D321" s="17" t="inlineStr">
        <is>
          <t>Ask / Seasonal</t>
        </is>
      </c>
    </row>
    <row r="322">
      <c r="A322" s="15">
        <f>HYPERLINK("https://shoreaquatic.com/shop/swl-purple-firefish-goby-small","Purple Firefish Goby (Small)")</f>
        <v/>
      </c>
      <c r="B322" s="16" t="inlineStr"/>
      <c r="C322" s="17" t="inlineStr">
        <is>
          <t>Small</t>
        </is>
      </c>
      <c r="D322" s="17" t="inlineStr">
        <is>
          <t>Ask / Seasonal</t>
        </is>
      </c>
    </row>
    <row r="323">
      <c r="A323" s="15">
        <f>HYPERLINK("https://shoreaquatic.com/shop/swl-queen-angel-medium-large","Queen Angel (Medium/Large)")</f>
        <v/>
      </c>
      <c r="B323" s="16" t="inlineStr"/>
      <c r="C323" s="17" t="inlineStr">
        <is>
          <t>Medium/Large</t>
        </is>
      </c>
      <c r="D323" s="17" t="inlineStr">
        <is>
          <t>Ask / Seasonal</t>
        </is>
      </c>
    </row>
    <row r="324">
      <c r="A324" s="15">
        <f>HYPERLINK("https://shoreaquatic.com/shop/swl-rabbit-fish-medium","Rabbit Fish (Medium)")</f>
        <v/>
      </c>
      <c r="B324" s="16" t="inlineStr"/>
      <c r="C324" s="17" t="inlineStr">
        <is>
          <t>Medium</t>
        </is>
      </c>
      <c r="D324" s="17" t="inlineStr">
        <is>
          <t>Ask / Seasonal</t>
        </is>
      </c>
    </row>
    <row r="325">
      <c r="A325" s="15">
        <f>HYPERLINK("https://shoreaquatic.com/shop/swl-racoon-butterfly-medium","Racoon Butterfly (Medium)")</f>
        <v/>
      </c>
      <c r="B325" s="16" t="inlineStr"/>
      <c r="C325" s="17" t="inlineStr">
        <is>
          <t>Medium</t>
        </is>
      </c>
      <c r="D325" s="17" t="inlineStr">
        <is>
          <t>Ask / Seasonal</t>
        </is>
      </c>
    </row>
    <row r="326">
      <c r="A326" s="15">
        <f>HYPERLINK("https://shoreaquatic.com/shop/swl-racoon-butterfly-medium-large","Racoon Butterfly (Medium/Large)")</f>
        <v/>
      </c>
      <c r="B326" s="16" t="inlineStr"/>
      <c r="C326" s="17" t="inlineStr">
        <is>
          <t>Medium/Large</t>
        </is>
      </c>
      <c r="D326" s="17" t="inlineStr">
        <is>
          <t>Ask / Seasonal</t>
        </is>
      </c>
    </row>
    <row r="327">
      <c r="A327" s="15">
        <f>HYPERLINK("https://shoreaquatic.com/shop/swl-racoon-butterfly-small","Racoon Butterfly (Small)")</f>
        <v/>
      </c>
      <c r="B327" s="16" t="inlineStr"/>
      <c r="C327" s="17" t="inlineStr">
        <is>
          <t>Small</t>
        </is>
      </c>
      <c r="D327" s="17" t="inlineStr">
        <is>
          <t>Ask / Seasonal</t>
        </is>
      </c>
    </row>
    <row r="328">
      <c r="A328" s="15">
        <f>HYPERLINK("https://shoreaquatic.com/shop/swl-radiant-wrasse-large","Radiant Wrasse (Large)")</f>
        <v/>
      </c>
      <c r="B328" s="16" t="inlineStr"/>
      <c r="C328" s="17" t="inlineStr">
        <is>
          <t>Large</t>
        </is>
      </c>
      <c r="D328" s="17" t="inlineStr">
        <is>
          <t>Ask / Seasonal</t>
        </is>
      </c>
    </row>
    <row r="329">
      <c r="A329" s="15">
        <f>HYPERLINK("https://shoreaquatic.com/shop/swl-radiant-wrasse-medium","Radiant Wrasse (Medium)")</f>
        <v/>
      </c>
      <c r="B329" s="16" t="inlineStr"/>
      <c r="C329" s="17" t="inlineStr">
        <is>
          <t>Medium</t>
        </is>
      </c>
      <c r="D329" s="17" t="inlineStr">
        <is>
          <t>Ask / Seasonal</t>
        </is>
      </c>
    </row>
    <row r="330">
      <c r="A330" s="15">
        <f>HYPERLINK("https://shoreaquatic.com/shop/swl-radiant-wrasse-small","Radiant Wrasse (Small)")</f>
        <v/>
      </c>
      <c r="B330" s="16" t="inlineStr"/>
      <c r="C330" s="17" t="inlineStr">
        <is>
          <t>Small</t>
        </is>
      </c>
      <c r="D330" s="17" t="inlineStr">
        <is>
          <t>Ask / Seasonal</t>
        </is>
      </c>
    </row>
    <row r="331">
      <c r="A331" s="15">
        <f>HYPERLINK("https://shoreaquatic.com/shop/swl-randall-s-assessor-basslet-medium","Randall'S Assessor Basslet (Medium)")</f>
        <v/>
      </c>
      <c r="B331" s="16" t="inlineStr"/>
      <c r="C331" s="17" t="inlineStr">
        <is>
          <t>Medium</t>
        </is>
      </c>
      <c r="D331" s="17" t="inlineStr">
        <is>
          <t>Ask / Seasonal</t>
        </is>
      </c>
    </row>
    <row r="332">
      <c r="A332" s="15">
        <f>HYPERLINK("https://shoreaquatic.com/shop/swl-recordea-orange-single-polyp-small","Recordea Orange Single Polyp (Small)")</f>
        <v/>
      </c>
      <c r="B332" s="16" t="inlineStr"/>
      <c r="C332" s="17" t="inlineStr">
        <is>
          <t>Small</t>
        </is>
      </c>
      <c r="D332" s="17" t="inlineStr">
        <is>
          <t>Ask / Seasonal</t>
        </is>
      </c>
    </row>
    <row r="333">
      <c r="A333" s="15">
        <f>HYPERLINK("https://shoreaquatic.com/shop/swl-red-cardinal-medium","Red Cardinal (Medium)")</f>
        <v/>
      </c>
      <c r="B333" s="16" t="inlineStr"/>
      <c r="C333" s="17" t="inlineStr">
        <is>
          <t>Medium</t>
        </is>
      </c>
      <c r="D333" s="17" t="inlineStr">
        <is>
          <t>Ask / Seasonal</t>
        </is>
      </c>
    </row>
    <row r="334">
      <c r="A334" s="15">
        <f>HYPERLINK("https://shoreaquatic.com/shop/swl-red-coris-wrasse-adult-medium-large","Red Coris Wrasse Adult (Medium/Large)")</f>
        <v/>
      </c>
      <c r="B334" s="16" t="inlineStr"/>
      <c r="C334" s="17" t="inlineStr">
        <is>
          <t>Medium/Large</t>
        </is>
      </c>
      <c r="D334" s="17" t="inlineStr">
        <is>
          <t>Ask / Seasonal</t>
        </is>
      </c>
    </row>
    <row r="335">
      <c r="A335" s="15">
        <f>HYPERLINK("https://shoreaquatic.com/shop/swl-red-coris-wrasse-juv-medium-large","Red Coris Wrasse Juv (Medium/Large)")</f>
        <v/>
      </c>
      <c r="B335" s="16" t="inlineStr"/>
      <c r="C335" s="17" t="inlineStr">
        <is>
          <t>Medium/Large</t>
        </is>
      </c>
      <c r="D335" s="17" t="inlineStr">
        <is>
          <t>Ask / Seasonal</t>
        </is>
      </c>
    </row>
    <row r="336">
      <c r="A336" s="15">
        <f>HYPERLINK("https://shoreaquatic.com/shop/swl-red-dragnette-blenny-medium","Red Dragnette Blenny (Medium)")</f>
        <v/>
      </c>
      <c r="B336" s="16" t="inlineStr"/>
      <c r="C336" s="17" t="inlineStr">
        <is>
          <t>Medium</t>
        </is>
      </c>
      <c r="D336" s="17" t="inlineStr">
        <is>
          <t>Ask / Seasonal</t>
        </is>
      </c>
    </row>
    <row r="337">
      <c r="A337" s="15">
        <f>HYPERLINK("https://shoreaquatic.com/shop/swl-red-hawk-fish-s-m","Red Hawk Fish (S/M)")</f>
        <v/>
      </c>
      <c r="B337" s="16" t="inlineStr"/>
      <c r="C337" s="17" t="inlineStr">
        <is>
          <t>S/M</t>
        </is>
      </c>
      <c r="D337" s="17" t="inlineStr">
        <is>
          <t>Ask / Seasonal</t>
        </is>
      </c>
    </row>
    <row r="338">
      <c r="A338" s="15">
        <f>HYPERLINK("https://shoreaquatic.com/shop/swl-red-spotted-hawk-atl-s-m","Red Spotted Hawk Atl (S/M)")</f>
        <v/>
      </c>
      <c r="B338" s="16" t="inlineStr"/>
      <c r="C338" s="17" t="inlineStr">
        <is>
          <t>S/M</t>
        </is>
      </c>
      <c r="D338" s="17" t="inlineStr">
        <is>
          <t>Ask / Seasonal</t>
        </is>
      </c>
    </row>
    <row r="339">
      <c r="A339" s="15">
        <f>HYPERLINK("https://shoreaquatic.com/shop/swl-red-white-tile-fish-medium","Red/White Tile Fish (Medium)")</f>
        <v/>
      </c>
      <c r="B339" s="16" t="inlineStr"/>
      <c r="C339" s="17" t="inlineStr">
        <is>
          <t>Medium</t>
        </is>
      </c>
      <c r="D339" s="17" t="inlineStr">
        <is>
          <t>Ask / Seasonal</t>
        </is>
      </c>
    </row>
    <row r="340">
      <c r="A340" s="15">
        <f>HYPERLINK("https://shoreaquatic.com/shop/swl-regal-angel-s-m","Regal Angel (S/M)")</f>
        <v/>
      </c>
      <c r="B340" s="16" t="inlineStr"/>
      <c r="C340" s="17" t="inlineStr">
        <is>
          <t>S/M</t>
        </is>
      </c>
      <c r="D340" s="17" t="inlineStr">
        <is>
          <t>Ask / Seasonal</t>
        </is>
      </c>
    </row>
    <row r="341">
      <c r="A341" s="15">
        <f>HYPERLINK("https://shoreaquatic.com/shop/swl-royal-dottyback-medium","Royal Dottyback (Medium)")</f>
        <v/>
      </c>
      <c r="B341" s="16" t="inlineStr"/>
      <c r="C341" s="17" t="inlineStr">
        <is>
          <t>Medium</t>
        </is>
      </c>
      <c r="D341" s="17" t="inlineStr">
        <is>
          <t>Ask / Seasonal</t>
        </is>
      </c>
    </row>
    <row r="342">
      <c r="A342" s="15">
        <f>HYPERLINK("https://shoreaquatic.com/shop/swl-royal-flasher-wrasse-s-m","Royal Flasher Wrasse (S/M)")</f>
        <v/>
      </c>
      <c r="B342" s="16" t="inlineStr"/>
      <c r="C342" s="17" t="inlineStr">
        <is>
          <t>S/M</t>
        </is>
      </c>
      <c r="D342" s="17" t="inlineStr">
        <is>
          <t>Ask / Seasonal</t>
        </is>
      </c>
    </row>
    <row r="343">
      <c r="A343" s="15">
        <f>HYPERLINK("https://shoreaquatic.com/shop/swl-royal-gramma-medium","Royal Gramma (Medium)")</f>
        <v/>
      </c>
      <c r="B343" s="16" t="inlineStr"/>
      <c r="C343" s="17" t="inlineStr">
        <is>
          <t>Medium</t>
        </is>
      </c>
      <c r="D343" s="17" t="inlineStr">
        <is>
          <t>Ask / Seasonal</t>
        </is>
      </c>
    </row>
    <row r="344">
      <c r="A344" s="15">
        <f>HYPERLINK("https://shoreaquatic.com/shop/swl-ruby-fin-fairy-wrasse-large","Ruby Fin Fairy Wrasse (Large)")</f>
        <v/>
      </c>
      <c r="B344" s="16" t="inlineStr"/>
      <c r="C344" s="17" t="inlineStr">
        <is>
          <t>Large</t>
        </is>
      </c>
      <c r="D344" s="17" t="inlineStr">
        <is>
          <t>Ask / Seasonal</t>
        </is>
      </c>
    </row>
    <row r="345">
      <c r="A345" s="15">
        <f>HYPERLINK("https://shoreaquatic.com/shop/swl-sailfin-tang-medium","Sailfin Tang (Medium)")</f>
        <v/>
      </c>
      <c r="B345" s="16" t="inlineStr"/>
      <c r="C345" s="17" t="inlineStr">
        <is>
          <t>Medium</t>
        </is>
      </c>
      <c r="D345" s="17" t="inlineStr">
        <is>
          <t>Ask / Seasonal</t>
        </is>
      </c>
    </row>
    <row r="346">
      <c r="A346" s="15">
        <f>HYPERLINK("https://shoreaquatic.com/shop/swl-salarias-algae-blenny-medium","Salarias Algae Blenny (Medium)")</f>
        <v/>
      </c>
      <c r="B346" s="16" t="inlineStr"/>
      <c r="C346" s="17" t="inlineStr">
        <is>
          <t>Medium</t>
        </is>
      </c>
      <c r="D346" s="17" t="inlineStr">
        <is>
          <t>Ask / Seasonal</t>
        </is>
      </c>
    </row>
    <row r="347">
      <c r="A347" s="15">
        <f>HYPERLINK("https://shoreaquatic.com/shop/swl-salarias-algae-blenny-small","Salarias Algae Blenny (Small)")</f>
        <v/>
      </c>
      <c r="B347" s="16" t="inlineStr"/>
      <c r="C347" s="17" t="inlineStr">
        <is>
          <t>Small</t>
        </is>
      </c>
      <c r="D347" s="17" t="inlineStr">
        <is>
          <t>Ask / Seasonal</t>
        </is>
      </c>
    </row>
    <row r="348">
      <c r="A348" s="15">
        <f>HYPERLINK("https://shoreaquatic.com/shop/swl-salarias-algae-blenny-africa-medium","Salarias Algae Blenny Africa (Medium)")</f>
        <v/>
      </c>
      <c r="B348" s="16" t="inlineStr"/>
      <c r="C348" s="17" t="inlineStr">
        <is>
          <t>Medium</t>
        </is>
      </c>
      <c r="D348" s="17" t="inlineStr">
        <is>
          <t>Ask / Seasonal</t>
        </is>
      </c>
    </row>
    <row r="349">
      <c r="A349" s="15">
        <f>HYPERLINK("https://shoreaquatic.com/shop/swl-scooter-blenny-medium","Scooter Blenny (Medium)")</f>
        <v/>
      </c>
      <c r="B349" s="16" t="inlineStr"/>
      <c r="C349" s="17" t="inlineStr">
        <is>
          <t>Medium</t>
        </is>
      </c>
      <c r="D349" s="17" t="inlineStr">
        <is>
          <t>Ask / Seasonal</t>
        </is>
      </c>
    </row>
    <row r="350">
      <c r="A350" s="15">
        <f>HYPERLINK("https://shoreaquatic.com/shop/swl-scopas-tang-medium","Scopas Tang (Medium)")</f>
        <v/>
      </c>
      <c r="B350" s="16" t="inlineStr"/>
      <c r="C350" s="17" t="inlineStr">
        <is>
          <t>Medium</t>
        </is>
      </c>
      <c r="D350" s="17" t="inlineStr">
        <is>
          <t>Ask / Seasonal</t>
        </is>
      </c>
    </row>
    <row r="351">
      <c r="A351" s="15">
        <f>HYPERLINK("https://shoreaquatic.com/shop/swl-scopas-tang-small","Scopas Tang (Small)")</f>
        <v/>
      </c>
      <c r="B351" s="16" t="inlineStr"/>
      <c r="C351" s="17" t="inlineStr">
        <is>
          <t>Small</t>
        </is>
      </c>
      <c r="D351" s="17" t="inlineStr">
        <is>
          <t>Ask / Seasonal</t>
        </is>
      </c>
    </row>
    <row r="352">
      <c r="A352" s="15">
        <f>HYPERLINK("https://shoreaquatic.com/shop/swl-singapore-angel-medium","Singapore Angel (Medium)")</f>
        <v/>
      </c>
      <c r="B352" s="16" t="inlineStr"/>
      <c r="C352" s="17" t="inlineStr">
        <is>
          <t>Medium</t>
        </is>
      </c>
      <c r="D352" s="17" t="inlineStr">
        <is>
          <t>Ask / Seasonal</t>
        </is>
      </c>
    </row>
    <row r="353">
      <c r="A353" s="15">
        <f>HYPERLINK("https://shoreaquatic.com/shop/swl-sixline-wrasse-large","Sixline Wrasse (Large)")</f>
        <v/>
      </c>
      <c r="B353" s="16" t="inlineStr"/>
      <c r="C353" s="17" t="inlineStr">
        <is>
          <t>Large</t>
        </is>
      </c>
      <c r="D353" s="17" t="inlineStr">
        <is>
          <t>Ask / Seasonal</t>
        </is>
      </c>
    </row>
    <row r="354">
      <c r="A354" s="15">
        <f>HYPERLINK("https://shoreaquatic.com/shop/swl-sixline-wrasse-medium","Sixline Wrasse (Medium)")</f>
        <v/>
      </c>
      <c r="B354" s="16" t="inlineStr"/>
      <c r="C354" s="17" t="inlineStr">
        <is>
          <t>Medium</t>
        </is>
      </c>
      <c r="D354" s="17" t="inlineStr">
        <is>
          <t>Ask / Seasonal</t>
        </is>
      </c>
    </row>
    <row r="355">
      <c r="A355" s="15">
        <f>HYPERLINK("https://shoreaquatic.com/shop/swl-sixline-wrasse-small","Sixline Wrasse (Small)")</f>
        <v/>
      </c>
      <c r="B355" s="16" t="inlineStr"/>
      <c r="C355" s="17" t="inlineStr">
        <is>
          <t>Small</t>
        </is>
      </c>
      <c r="D355" s="17" t="inlineStr">
        <is>
          <t>Ask / Seasonal</t>
        </is>
      </c>
    </row>
    <row r="356">
      <c r="A356" s="15">
        <f>HYPERLINK("https://shoreaquatic.com/shop/swl-solar-wrasse-medium","Solar Wrasse (Medium)")</f>
        <v/>
      </c>
      <c r="B356" s="16" t="inlineStr"/>
      <c r="C356" s="17" t="inlineStr">
        <is>
          <t>Medium</t>
        </is>
      </c>
      <c r="D356" s="17" t="inlineStr">
        <is>
          <t>Ask / Seasonal</t>
        </is>
      </c>
    </row>
    <row r="357">
      <c r="A357" s="15">
        <f>HYPERLINK("https://shoreaquatic.com/shop/swl-spiney-boxfih-medium","Spiney Boxfih (Medium)")</f>
        <v/>
      </c>
      <c r="B357" s="16" t="inlineStr"/>
      <c r="C357" s="17" t="inlineStr">
        <is>
          <t>Medium</t>
        </is>
      </c>
      <c r="D357" s="17" t="inlineStr">
        <is>
          <t>Ask / Seasonal</t>
        </is>
      </c>
    </row>
    <row r="358">
      <c r="A358" s="15">
        <f>HYPERLINK("https://shoreaquatic.com/shop/swl-splendid-garden-eel-medium","Splendid Garden Eel (Medium)")</f>
        <v/>
      </c>
      <c r="B358" s="16" t="inlineStr"/>
      <c r="C358" s="17" t="inlineStr">
        <is>
          <t>Medium</t>
        </is>
      </c>
      <c r="D358" s="17" t="inlineStr">
        <is>
          <t>Ask / Seasonal</t>
        </is>
      </c>
    </row>
    <row r="359">
      <c r="A359" s="15">
        <f>HYPERLINK("https://shoreaquatic.com/shop/swl-spotted-dwarf-hawk-s-m","Spotted Dwarf Hawk (S/M)")</f>
        <v/>
      </c>
      <c r="B359" s="16" t="inlineStr"/>
      <c r="C359" s="17" t="inlineStr">
        <is>
          <t>S/M</t>
        </is>
      </c>
      <c r="D359" s="17" t="inlineStr">
        <is>
          <t>Ask / Seasonal</t>
        </is>
      </c>
    </row>
    <row r="360">
      <c r="A360" s="15">
        <f>HYPERLINK("https://shoreaquatic.com/shop/swl-spotted-sweetlips-medium","Spotted Sweetlips (Medium)")</f>
        <v/>
      </c>
      <c r="B360" s="16" t="inlineStr"/>
      <c r="C360" s="17" t="inlineStr">
        <is>
          <t>Medium</t>
        </is>
      </c>
      <c r="D360" s="17" t="inlineStr">
        <is>
          <t>Ask / Seasonal</t>
        </is>
      </c>
    </row>
    <row r="361">
      <c r="A361" s="15">
        <f>HYPERLINK("https://shoreaquatic.com/shop/swl-spotted-unicorn-fish-medium","Spotted Unicorn Fish (Medium)")</f>
        <v/>
      </c>
      <c r="B361" s="16" t="inlineStr"/>
      <c r="C361" s="17" t="inlineStr">
        <is>
          <t>Medium</t>
        </is>
      </c>
      <c r="D361" s="17" t="inlineStr">
        <is>
          <t>Ask / Seasonal</t>
        </is>
      </c>
    </row>
    <row r="362">
      <c r="A362" s="15">
        <f>HYPERLINK("https://shoreaquatic.com/shop/swl-springeri-damsel-5pk","Springeri Damsel \u2014 5 Pack")</f>
        <v/>
      </c>
      <c r="B362" s="16" t="inlineStr"/>
      <c r="C362" s="17" t="inlineStr">
        <is>
          <t>5-pack</t>
        </is>
      </c>
      <c r="D362" s="17" t="inlineStr">
        <is>
          <t>Ask / Seasonal</t>
        </is>
      </c>
    </row>
    <row r="363">
      <c r="A363" s="15">
        <f>HYPERLINK("https://shoreaquatic.com/shop/swl-springeri-dottyback-medium","Springeri Dottyback (Medium)")</f>
        <v/>
      </c>
      <c r="B363" s="16" t="inlineStr"/>
      <c r="C363" s="17" t="inlineStr">
        <is>
          <t>Medium</t>
        </is>
      </c>
      <c r="D363" s="17" t="inlineStr">
        <is>
          <t>Ask / Seasonal</t>
        </is>
      </c>
    </row>
    <row r="364">
      <c r="A364" s="15">
        <f>HYPERLINK("https://shoreaquatic.com/shop/swl-stars-stripes-puffer-medium","Stars// Stripes Puffer (Medium)")</f>
        <v/>
      </c>
      <c r="B364" s="16" t="inlineStr"/>
      <c r="C364" s="17" t="inlineStr">
        <is>
          <t>Medium</t>
        </is>
      </c>
      <c r="D364" s="17" t="inlineStr">
        <is>
          <t>Ask / Seasonal</t>
        </is>
      </c>
    </row>
    <row r="365">
      <c r="A365" s="15">
        <f>HYPERLINK("https://shoreaquatic.com/shop/swl-steinitz-s-shrimp-goby-medium","Steinitz'S Shrimp Goby (Medium)")</f>
        <v/>
      </c>
      <c r="B365" s="16" t="inlineStr"/>
      <c r="C365" s="17" t="inlineStr">
        <is>
          <t>Medium</t>
        </is>
      </c>
      <c r="D365" s="17" t="inlineStr">
        <is>
          <t>Ask / Seasonal</t>
        </is>
      </c>
    </row>
    <row r="366">
      <c r="A366" s="15">
        <f>HYPERLINK("https://shoreaquatic.com/shop/swl-striped-sweetlip-medium-large","Striped Sweetlip (Medium/Large)")</f>
        <v/>
      </c>
      <c r="B366" s="16" t="inlineStr"/>
      <c r="C366" s="17" t="inlineStr">
        <is>
          <t>Medium/Large</t>
        </is>
      </c>
      <c r="D366" s="17" t="inlineStr">
        <is>
          <t>Ask / Seasonal</t>
        </is>
      </c>
    </row>
    <row r="367">
      <c r="A367" s="15">
        <f>HYPERLINK("https://shoreaquatic.com/shop/swl-swallowtail-angel-female-medium-large","Swallowtail Angel Female (Medium/Large)")</f>
        <v/>
      </c>
      <c r="B367" s="16" t="inlineStr"/>
      <c r="C367" s="17" t="inlineStr">
        <is>
          <t>Medium/Large</t>
        </is>
      </c>
      <c r="D367" s="17" t="inlineStr">
        <is>
          <t>Ask / Seasonal</t>
        </is>
      </c>
    </row>
    <row r="368">
      <c r="A368" s="15">
        <f>HYPERLINK("https://shoreaquatic.com/shop/swl-swallowtail-angel-pair-medium-large","Swallowtail Angel Pair (Medium/Large)")</f>
        <v/>
      </c>
      <c r="B368" s="16" t="inlineStr"/>
      <c r="C368" s="17" t="inlineStr">
        <is>
          <t>Medium/Large</t>
        </is>
      </c>
      <c r="D368" s="17" t="inlineStr">
        <is>
          <t>Ask / Seasonal</t>
        </is>
      </c>
    </row>
    <row r="369">
      <c r="A369" s="15">
        <f>HYPERLINK("https://shoreaquatic.com/shop/swl-tang-achilles-large","Tang: Achilles Large")</f>
        <v/>
      </c>
      <c r="B369" s="16" t="inlineStr">
        <is>
          <t>Acanthurus Achilles</t>
        </is>
      </c>
      <c r="C369" s="17" t="inlineStr"/>
      <c r="D369" s="17" t="inlineStr">
        <is>
          <t>Ask / Seasonal</t>
        </is>
      </c>
    </row>
    <row r="370">
      <c r="A370" s="15">
        <f>HYPERLINK("https://shoreaquatic.com/shop/swl-tang-achilles-small","Tang: Achilles Small")</f>
        <v/>
      </c>
      <c r="B370" s="16" t="inlineStr">
        <is>
          <t>Acanthurus Achilles</t>
        </is>
      </c>
      <c r="C370" s="17" t="inlineStr"/>
      <c r="D370" s="17" t="inlineStr">
        <is>
          <t>Ask / Seasonal</t>
        </is>
      </c>
    </row>
    <row r="371">
      <c r="A371" s="15">
        <f>HYPERLINK("https://shoreaquatic.com/shop/swl-tang-white-tail-bristletooth","Tang: White Tail Bristletooth")</f>
        <v/>
      </c>
      <c r="B371" s="16" t="inlineStr">
        <is>
          <t>Ctenochaetus Flavicauda</t>
        </is>
      </c>
      <c r="C371" s="17" t="inlineStr"/>
      <c r="D371" s="17" t="inlineStr">
        <is>
          <t>Ask / Seasonal</t>
        </is>
      </c>
    </row>
    <row r="372">
      <c r="A372" s="15">
        <f>HYPERLINK("https://shoreaquatic.com/shop/swl-tassle-filefish-large","Tassle Filefish (Large)")</f>
        <v/>
      </c>
      <c r="B372" s="16" t="inlineStr"/>
      <c r="C372" s="17" t="inlineStr">
        <is>
          <t>Large</t>
        </is>
      </c>
      <c r="D372" s="17" t="inlineStr">
        <is>
          <t>Ask / Seasonal</t>
        </is>
      </c>
    </row>
    <row r="373">
      <c r="A373" s="15">
        <f>HYPERLINK("https://shoreaquatic.com/shop/swl-tenneti-tang-s-m","Tenneti Tang (S/M)")</f>
        <v/>
      </c>
      <c r="B373" s="16" t="inlineStr"/>
      <c r="C373" s="17" t="inlineStr">
        <is>
          <t>S/M</t>
        </is>
      </c>
      <c r="D373" s="17" t="inlineStr">
        <is>
          <t>Ask / Seasonal</t>
        </is>
      </c>
    </row>
    <row r="374">
      <c r="A374" s="15">
        <f>HYPERLINK("https://shoreaquatic.com/shop/swl-tiger-wardi-goby-medium","Tiger Wardi Goby (Medium)")</f>
        <v/>
      </c>
      <c r="B374" s="16" t="inlineStr"/>
      <c r="C374" s="17" t="inlineStr">
        <is>
          <t>Medium</t>
        </is>
      </c>
      <c r="D374" s="17" t="inlineStr">
        <is>
          <t>Ask / Seasonal</t>
        </is>
      </c>
    </row>
    <row r="375">
      <c r="A375" s="15">
        <f>HYPERLINK("https://shoreaquatic.com/shop/swl-tomini-tang-medium-large","Tomini Tang (Medium/Large)")</f>
        <v/>
      </c>
      <c r="B375" s="16" t="inlineStr"/>
      <c r="C375" s="17" t="inlineStr">
        <is>
          <t>Medium/Large</t>
        </is>
      </c>
      <c r="D375" s="17" t="inlineStr">
        <is>
          <t>Ask / Seasonal</t>
        </is>
      </c>
    </row>
    <row r="376">
      <c r="A376" s="15">
        <f>HYPERLINK("https://shoreaquatic.com/shop/swl-tomini-tang-small","Tomini Tang (Small)")</f>
        <v/>
      </c>
      <c r="B376" s="16" t="inlineStr"/>
      <c r="C376" s="17" t="inlineStr">
        <is>
          <t>Small</t>
        </is>
      </c>
      <c r="D376" s="17" t="inlineStr">
        <is>
          <t>Ask / Seasonal</t>
        </is>
      </c>
    </row>
    <row r="377">
      <c r="A377" s="15">
        <f>HYPERLINK("https://shoreaquatic.com/shop/swl-true-percula-clown-medium","True Percula Clown (Medium)")</f>
        <v/>
      </c>
      <c r="B377" s="16" t="inlineStr"/>
      <c r="C377" s="17" t="inlineStr">
        <is>
          <t>Medium</t>
        </is>
      </c>
      <c r="D377" s="17" t="inlineStr">
        <is>
          <t>Ask / Seasonal</t>
        </is>
      </c>
    </row>
    <row r="378">
      <c r="A378" s="15">
        <f>HYPERLINK("https://shoreaquatic.com/shop/swl-twin-spot-goby-medium","Twin Spot Goby (Medium)")</f>
        <v/>
      </c>
      <c r="B378" s="16" t="inlineStr"/>
      <c r="C378" s="17" t="inlineStr">
        <is>
          <t>Medium</t>
        </is>
      </c>
      <c r="D378" s="17" t="inlineStr">
        <is>
          <t>Ask / Seasonal</t>
        </is>
      </c>
    </row>
    <row r="379">
      <c r="A379" s="15">
        <f>HYPERLINK("https://shoreaquatic.com/shop/swl-unicorn-fish-vlamingii-juv-s-m","Unicorn Fish Vlamingii Juv (S/M)")</f>
        <v/>
      </c>
      <c r="B379" s="16" t="inlineStr"/>
      <c r="C379" s="17" t="inlineStr">
        <is>
          <t>S/M</t>
        </is>
      </c>
      <c r="D379" s="17" t="inlineStr">
        <is>
          <t>Ask / Seasonal</t>
        </is>
      </c>
    </row>
    <row r="380">
      <c r="A380" s="15">
        <f>HYPERLINK("https://shoreaquatic.com/shop/swl-valentin-puffer-medium","Valentin Puffer (Medium)")</f>
        <v/>
      </c>
      <c r="B380" s="16" t="inlineStr"/>
      <c r="C380" s="17" t="inlineStr">
        <is>
          <t>Medium</t>
        </is>
      </c>
      <c r="D380" s="17" t="inlineStr">
        <is>
          <t>Ask / Seasonal</t>
        </is>
      </c>
    </row>
    <row r="381">
      <c r="A381" s="15">
        <f>HYPERLINK("https://shoreaquatic.com/shop/swl-valentini-puffer-medium","Valentini Puffer (Medium)")</f>
        <v/>
      </c>
      <c r="B381" s="16" t="inlineStr"/>
      <c r="C381" s="17" t="inlineStr">
        <is>
          <t>Medium</t>
        </is>
      </c>
      <c r="D381" s="17" t="inlineStr">
        <is>
          <t>Ask / Seasonal</t>
        </is>
      </c>
    </row>
    <row r="382">
      <c r="A382" s="15">
        <f>HYPERLINK("https://shoreaquatic.com/shop/swl-volitan-lion-fish-large","Volitan Lion Fish (Large)")</f>
        <v/>
      </c>
      <c r="B382" s="16" t="inlineStr"/>
      <c r="C382" s="17" t="inlineStr">
        <is>
          <t>Large</t>
        </is>
      </c>
      <c r="D382" s="17" t="inlineStr">
        <is>
          <t>Ask / Seasonal</t>
        </is>
      </c>
    </row>
    <row r="383">
      <c r="A383" s="15">
        <f>HYPERLINK("https://shoreaquatic.com/shop/swl-wheeler-s-prawn-goby-medium","Wheeler'S Prawn Goby (Medium)")</f>
        <v/>
      </c>
      <c r="B383" s="16" t="inlineStr"/>
      <c r="C383" s="17" t="inlineStr">
        <is>
          <t>Medium</t>
        </is>
      </c>
      <c r="D383" s="17" t="inlineStr">
        <is>
          <t>Ask / Seasonal</t>
        </is>
      </c>
    </row>
    <row r="384">
      <c r="A384" s="15">
        <f>HYPERLINK("https://shoreaquatic.com/shop/swl-whip-fin-fairy-wrasse-large","Whip Fin Fairy Wrasse (Large)")</f>
        <v/>
      </c>
      <c r="B384" s="16" t="inlineStr"/>
      <c r="C384" s="17" t="inlineStr">
        <is>
          <t>Large</t>
        </is>
      </c>
      <c r="D384" s="17" t="inlineStr">
        <is>
          <t>Ask / Seasonal</t>
        </is>
      </c>
    </row>
    <row r="385">
      <c r="A385" s="15">
        <f>HYPERLINK("https://shoreaquatic.com/shop/swl-wrasse-mexicana","Wrasse: Mexicana")</f>
        <v/>
      </c>
      <c r="B385" s="16" t="inlineStr">
        <is>
          <t>Thalasoma Lucasanum</t>
        </is>
      </c>
      <c r="C385" s="17" t="inlineStr"/>
      <c r="D385" s="17" t="inlineStr">
        <is>
          <t>Ask / Seasonal</t>
        </is>
      </c>
    </row>
    <row r="386">
      <c r="A386" s="15">
        <f>HYPERLINK("https://shoreaquatic.com/shop/swl-wrasse-paddlefin","Wrasse: Paddlefin")</f>
        <v/>
      </c>
      <c r="B386" s="16" t="inlineStr">
        <is>
          <t>Thalasoma Lucasanum</t>
        </is>
      </c>
      <c r="C386" s="17" t="inlineStr"/>
      <c r="D386" s="17" t="inlineStr">
        <is>
          <t>Ask / Seasonal</t>
        </is>
      </c>
    </row>
    <row r="387">
      <c r="A387" s="15">
        <f>HYPERLINK("https://shoreaquatic.com/shop/swl-wyoming-white-clown-medium","Wyoming White Clown (Medium)")</f>
        <v/>
      </c>
      <c r="B387" s="16" t="inlineStr"/>
      <c r="C387" s="17" t="inlineStr">
        <is>
          <t>Medium</t>
        </is>
      </c>
      <c r="D387" s="17" t="inlineStr">
        <is>
          <t>Ask / Seasonal</t>
        </is>
      </c>
    </row>
    <row r="388">
      <c r="A388" s="15">
        <f>HYPERLINK("https://shoreaquatic.com/shop/swl-yellow-angel-medium","Yellow Angel (Medium)")</f>
        <v/>
      </c>
      <c r="B388" s="16" t="inlineStr"/>
      <c r="C388" s="17" t="inlineStr">
        <is>
          <t>Medium</t>
        </is>
      </c>
      <c r="D388" s="17" t="inlineStr">
        <is>
          <t>Ask / Seasonal</t>
        </is>
      </c>
    </row>
    <row r="389">
      <c r="A389" s="15">
        <f>HYPERLINK("https://shoreaquatic.com/shop/swl-yellow-boxfish-small","Yellow Boxfish (Small)")</f>
        <v/>
      </c>
      <c r="B389" s="16" t="inlineStr"/>
      <c r="C389" s="17" t="inlineStr">
        <is>
          <t>Small</t>
        </is>
      </c>
      <c r="D389" s="17" t="inlineStr">
        <is>
          <t>Ask / Seasonal</t>
        </is>
      </c>
    </row>
    <row r="390">
      <c r="A390" s="15">
        <f>HYPERLINK("https://shoreaquatic.com/shop/swl-yellow-clown-goby-medium","Yellow Clown Goby (Medium)")</f>
        <v/>
      </c>
      <c r="B390" s="16" t="inlineStr"/>
      <c r="C390" s="17" t="inlineStr">
        <is>
          <t>Medium</t>
        </is>
      </c>
      <c r="D390" s="17" t="inlineStr">
        <is>
          <t>Ask / Seasonal</t>
        </is>
      </c>
    </row>
    <row r="391">
      <c r="A391" s="15">
        <f>HYPERLINK("https://shoreaquatic.com/shop/swl-yellow-coris-wrasse-medium","Yellow Coris Wrasse (Medium)")</f>
        <v/>
      </c>
      <c r="B391" s="16" t="inlineStr"/>
      <c r="C391" s="17" t="inlineStr">
        <is>
          <t>Medium</t>
        </is>
      </c>
      <c r="D391" s="17" t="inlineStr">
        <is>
          <t>Ask / Seasonal</t>
        </is>
      </c>
    </row>
    <row r="392">
      <c r="A392" s="15">
        <f>HYPERLINK("https://shoreaquatic.com/shop/swl-yellow-coris-wrasse-medium-large","Yellow Coris Wrasse (Medium/Large)")</f>
        <v/>
      </c>
      <c r="B392" s="16" t="inlineStr"/>
      <c r="C392" s="17" t="inlineStr">
        <is>
          <t>Medium/Large</t>
        </is>
      </c>
      <c r="D392" s="17" t="inlineStr">
        <is>
          <t>Ask / Seasonal</t>
        </is>
      </c>
    </row>
    <row r="393">
      <c r="A393" s="15">
        <f>HYPERLINK("https://shoreaquatic.com/shop/swl-yellow-coris-wrasse-small","Yellow Coris Wrasse (Small)")</f>
        <v/>
      </c>
      <c r="B393" s="16" t="inlineStr"/>
      <c r="C393" s="17" t="inlineStr">
        <is>
          <t>Small</t>
        </is>
      </c>
      <c r="D393" s="17" t="inlineStr">
        <is>
          <t>Ask / Seasonal</t>
        </is>
      </c>
    </row>
    <row r="394">
      <c r="A394" s="15">
        <f>HYPERLINK("https://shoreaquatic.com/shop/swl-yellow-flanked-fairy-wrasse-medium-large","Yellow Flanked Fairy Wrasse (Medium/Large)")</f>
        <v/>
      </c>
      <c r="B394" s="16" t="inlineStr"/>
      <c r="C394" s="17" t="inlineStr">
        <is>
          <t>Medium/Large</t>
        </is>
      </c>
      <c r="D394" s="17" t="inlineStr">
        <is>
          <t>Ask / Seasonal</t>
        </is>
      </c>
    </row>
    <row r="395">
      <c r="A395" s="15">
        <f>HYPERLINK("https://shoreaquatic.com/shop/swl-yellow-mimic-tang-s-m","Yellow Mimic Tang (S/M)")</f>
        <v/>
      </c>
      <c r="B395" s="16" t="inlineStr"/>
      <c r="C395" s="17" t="inlineStr">
        <is>
          <t>S/M</t>
        </is>
      </c>
      <c r="D395" s="17" t="inlineStr">
        <is>
          <t>Ask / Seasonal</t>
        </is>
      </c>
    </row>
    <row r="396">
      <c r="A396" s="15">
        <f>HYPERLINK("https://shoreaquatic.com/shop/swl-yellow-tail-blue-damsel-5pk","Yellow Tail Blue Damsel \u2014 5 Pack")</f>
        <v/>
      </c>
      <c r="B396" s="16" t="inlineStr"/>
      <c r="C396" s="17" t="inlineStr">
        <is>
          <t>5-pack</t>
        </is>
      </c>
      <c r="D396" s="17" t="inlineStr">
        <is>
          <t>Ask / Seasonal</t>
        </is>
      </c>
    </row>
    <row r="397">
      <c r="A397" s="15">
        <f>HYPERLINK("https://shoreaquatic.com/shop/swl-yellow-watchman-goby-s-m","Yellow Watchman Goby (S/M)")</f>
        <v/>
      </c>
      <c r="B397" s="16" t="inlineStr"/>
      <c r="C397" s="17" t="inlineStr">
        <is>
          <t>S/M</t>
        </is>
      </c>
      <c r="D397" s="17" t="inlineStr">
        <is>
          <t>Ask / Seasonal</t>
        </is>
      </c>
    </row>
    <row r="398">
      <c r="A398" s="15">
        <f>HYPERLINK("https://shoreaquatic.com/shop/swl-zebra-moray-eel-large","Zebra Moray Eel (Large)")</f>
        <v/>
      </c>
      <c r="B398" s="16" t="inlineStr"/>
      <c r="C398" s="17" t="inlineStr">
        <is>
          <t>Large</t>
        </is>
      </c>
      <c r="D398" s="17" t="inlineStr">
        <is>
          <t>Ask / Seasonal</t>
        </is>
      </c>
    </row>
    <row r="399">
      <c r="A399" s="14" t="inlineStr">
        <is>
          <t xml:space="preserve">  Saltwater Invertebrates  (123)</t>
        </is>
      </c>
    </row>
    <row r="400">
      <c r="A400" s="15">
        <f>HYPERLINK("https://shoreaquatic.com/shop/swl-abalone","Abalone")</f>
        <v/>
      </c>
      <c r="B400" s="16" t="inlineStr">
        <is>
          <t>Haliotis Sp.</t>
        </is>
      </c>
      <c r="C400" s="17" t="inlineStr"/>
      <c r="D400" s="17" t="inlineStr">
        <is>
          <t>Ask / Seasonal</t>
        </is>
      </c>
    </row>
    <row r="401">
      <c r="A401" s="15">
        <f>HYPERLINK("https://shoreaquatic.com/shop/swl-african-knobby-star","African Knobby Star")</f>
        <v/>
      </c>
      <c r="B401" s="16" t="inlineStr">
        <is>
          <t>Protoreaster Linkii</t>
        </is>
      </c>
      <c r="C401" s="17" t="inlineStr"/>
      <c r="D401" s="17" t="inlineStr">
        <is>
          <t>Ask / Seasonal</t>
        </is>
      </c>
    </row>
    <row r="402">
      <c r="A402" s="15">
        <f>HYPERLINK("https://shoreaquatic.com/shop/swl-anemone-crab","Anemone Crab")</f>
        <v/>
      </c>
      <c r="B402" s="16" t="inlineStr">
        <is>
          <t>Neopetrolishes Oshimai</t>
        </is>
      </c>
      <c r="C402" s="17" t="inlineStr"/>
      <c r="D402" s="17" t="inlineStr">
        <is>
          <t>Ask / Seasonal</t>
        </is>
      </c>
    </row>
    <row r="403">
      <c r="A403" s="15">
        <f>HYPERLINK("https://shoreaquatic.com/shop/swl-arrow-crab-5pk","Arrow Crab \u2014 5 Pack")</f>
        <v/>
      </c>
      <c r="B403" s="16" t="inlineStr">
        <is>
          <t>Stenorhynchus Seticornis</t>
        </is>
      </c>
      <c r="C403" s="17" t="inlineStr">
        <is>
          <t>5-pack</t>
        </is>
      </c>
      <c r="D403" s="17" t="inlineStr">
        <is>
          <t>Ask / Seasonal</t>
        </is>
      </c>
    </row>
    <row r="404">
      <c r="A404" s="15">
        <f>HYPERLINK("https://shoreaquatic.com/shop/swl-astrea-25pk","Astrea \u2014 25 Pack")</f>
        <v/>
      </c>
      <c r="B404" s="16" t="inlineStr">
        <is>
          <t>Lithopoma [Astraea] Spp</t>
        </is>
      </c>
      <c r="C404" s="17" t="inlineStr">
        <is>
          <t>25-pack</t>
        </is>
      </c>
      <c r="D404" s="17" t="inlineStr">
        <is>
          <t>Ask / Seasonal</t>
        </is>
      </c>
    </row>
    <row r="405">
      <c r="A405" s="15">
        <f>HYPERLINK("https://shoreaquatic.com/shop/swl-banded-trochus-snail-5pk","Banded Trochus Snail \u2014 5 Pack")</f>
        <v/>
      </c>
      <c r="B405" s="16" t="inlineStr"/>
      <c r="C405" s="17" t="inlineStr">
        <is>
          <t>5-pack</t>
        </is>
      </c>
      <c r="D405" s="17" t="inlineStr">
        <is>
          <t>Ask / Seasonal</t>
        </is>
      </c>
    </row>
    <row r="406">
      <c r="A406" s="15">
        <f>HYPERLINK("https://shoreaquatic.com/shop/swl-berghia-nudibranch-15pk","Berghia Nudibranch — 15 Pack")</f>
        <v/>
      </c>
      <c r="B406" s="16" t="inlineStr">
        <is>
          <t>Berghia stephanieae</t>
        </is>
      </c>
      <c r="C406" s="17" t="inlineStr">
        <is>
          <t>15 nudibranchs, ~1/4–1/2 inch each</t>
        </is>
      </c>
      <c r="D406" s="17" t="inlineStr">
        <is>
          <t>Ask / Seasonal</t>
        </is>
      </c>
    </row>
    <row r="407">
      <c r="A407" s="15">
        <f>HYPERLINK("https://shoreaquatic.com/shop/swl-berghia-nudibranch-30pk","Berghia Nudibranch — 30 Pack (Free Overnight Shipping)")</f>
        <v/>
      </c>
      <c r="B407" s="16" t="inlineStr">
        <is>
          <t>Berghia stephanieae</t>
        </is>
      </c>
      <c r="C407" s="17" t="inlineStr">
        <is>
          <t>30 nudibranchs, ~1/4–1/2 inch each</t>
        </is>
      </c>
      <c r="D407" s="17" t="inlineStr">
        <is>
          <t>Ask / Seasonal</t>
        </is>
      </c>
    </row>
    <row r="408">
      <c r="A408" s="15">
        <f>HYPERLINK("https://shoreaquatic.com/shop/swl-berghia-nudibranch-5pk","Berghia Nudibranch — 5 Pack")</f>
        <v/>
      </c>
      <c r="B408" s="16" t="inlineStr">
        <is>
          <t>Berghia stephanieae</t>
        </is>
      </c>
      <c r="C408" s="17" t="inlineStr">
        <is>
          <t>5 nudibranchs, ~1/4–1/2 inch each</t>
        </is>
      </c>
      <c r="D408" s="17" t="inlineStr">
        <is>
          <t>In Stock</t>
        </is>
      </c>
    </row>
    <row r="409">
      <c r="A409" s="15">
        <f>HYPERLINK("https://shoreaquatic.com/shop/swl-blue-knuckle-hermit-5pk","Blue Knuckle Hermit \u2014 5 Pack")</f>
        <v/>
      </c>
      <c r="B409" s="16" t="inlineStr">
        <is>
          <t>Calcinus Elegans</t>
        </is>
      </c>
      <c r="C409" s="17" t="inlineStr">
        <is>
          <t>5-pack</t>
        </is>
      </c>
      <c r="D409" s="17" t="inlineStr">
        <is>
          <t>Ask / Seasonal</t>
        </is>
      </c>
    </row>
    <row r="410">
      <c r="A410" s="15">
        <f>HYPERLINK("https://shoreaquatic.com/shop/swl-blue-leg-crab-25pk","Blue Leg Crab \u2014 25 Pack")</f>
        <v/>
      </c>
      <c r="B410" s="16" t="inlineStr"/>
      <c r="C410" s="17" t="inlineStr">
        <is>
          <t>25-pack</t>
        </is>
      </c>
      <c r="D410" s="17" t="inlineStr">
        <is>
          <t>Ask / Seasonal</t>
        </is>
      </c>
    </row>
    <row r="411">
      <c r="A411" s="15">
        <f>HYPERLINK("https://shoreaquatic.com/shop/swl-blue-leg-hermit-med-25pk","Blue Leg Hermit Med \u2014 25 Pack")</f>
        <v/>
      </c>
      <c r="B411" s="16" t="inlineStr">
        <is>
          <t>Clibanarius Tricolor</t>
        </is>
      </c>
      <c r="C411" s="17" t="inlineStr">
        <is>
          <t>25-pack</t>
        </is>
      </c>
      <c r="D411" s="17" t="inlineStr">
        <is>
          <t>Ask / Seasonal</t>
        </is>
      </c>
    </row>
    <row r="412">
      <c r="A412" s="15">
        <f>HYPERLINK("https://shoreaquatic.com/shop/swl-bumble-bee-snail-5pk","Bumble Bee Snail \u2014 5 Pack")</f>
        <v/>
      </c>
      <c r="B412" s="16" t="inlineStr"/>
      <c r="C412" s="17" t="inlineStr">
        <is>
          <t>5-pack</t>
        </is>
      </c>
      <c r="D412" s="17" t="inlineStr">
        <is>
          <t>Ask / Seasonal</t>
        </is>
      </c>
    </row>
    <row r="413">
      <c r="A413" s="15">
        <f>HYPERLINK("https://shoreaquatic.com/shop/swl-bumble-bee-snails-5pk","Bumble Bee Snails \u2014 5 Pack")</f>
        <v/>
      </c>
      <c r="B413" s="16" t="inlineStr">
        <is>
          <t>Pusiostoma Mendicaria</t>
        </is>
      </c>
      <c r="C413" s="17" t="inlineStr">
        <is>
          <t>5-pack</t>
        </is>
      </c>
      <c r="D413" s="17" t="inlineStr">
        <is>
          <t>Ask / Seasonal</t>
        </is>
      </c>
    </row>
    <row r="414">
      <c r="A414" s="15">
        <f>HYPERLINK("https://shoreaquatic.com/shop/swl-caribbean-feather-duster-5pk","Caribbean Feather Duster \u2014 5 Pack")</f>
        <v/>
      </c>
      <c r="B414" s="16" t="inlineStr">
        <is>
          <t>Sabellastarte Spp</t>
        </is>
      </c>
      <c r="C414" s="17" t="inlineStr">
        <is>
          <t>5-pack</t>
        </is>
      </c>
      <c r="D414" s="17" t="inlineStr">
        <is>
          <t>Ask / Seasonal</t>
        </is>
      </c>
    </row>
    <row r="415">
      <c r="A415" s="15">
        <f>HYPERLINK("https://shoreaquatic.com/shop/swl-cat-s-eye-snail-philippines-5pk","Cat'S Eye Snail (Philippines) \u2014 5 Pack")</f>
        <v/>
      </c>
      <c r="B415" s="16" t="inlineStr">
        <is>
          <t>Turbo Petholatus</t>
        </is>
      </c>
      <c r="C415" s="17" t="inlineStr">
        <is>
          <t>5-pack</t>
        </is>
      </c>
      <c r="D415" s="17" t="inlineStr">
        <is>
          <t>Ask / Seasonal</t>
        </is>
      </c>
    </row>
    <row r="416">
      <c r="A416" s="15">
        <f>HYPERLINK("https://shoreaquatic.com/shop/swl-cerith-snail-10pk","Cerith Snail \u2014 10 Pack")</f>
        <v/>
      </c>
      <c r="B416" s="16" t="inlineStr"/>
      <c r="C416" s="17" t="inlineStr">
        <is>
          <t>10-pack</t>
        </is>
      </c>
      <c r="D416" s="17" t="inlineStr">
        <is>
          <t>Ask / Seasonal</t>
        </is>
      </c>
    </row>
    <row r="417">
      <c r="A417" s="15">
        <f>HYPERLINK("https://shoreaquatic.com/shop/swl-cerith-10pk","Cerith \u2014 10 Pack")</f>
        <v/>
      </c>
      <c r="B417" s="16" t="inlineStr">
        <is>
          <t>Cerithium Sp.</t>
        </is>
      </c>
      <c r="C417" s="17" t="inlineStr">
        <is>
          <t>10-pack</t>
        </is>
      </c>
      <c r="D417" s="17" t="inlineStr">
        <is>
          <t>Ask / Seasonal</t>
        </is>
      </c>
    </row>
    <row r="418">
      <c r="A418" s="15">
        <f>HYPERLINK("https://shoreaquatic.com/shop/swl-chestnut-snail-10pk","Chestnut Snail \u2014 10 Pack")</f>
        <v/>
      </c>
      <c r="B418" s="16" t="inlineStr"/>
      <c r="C418" s="17" t="inlineStr">
        <is>
          <t>10-pack</t>
        </is>
      </c>
      <c r="D418" s="17" t="inlineStr">
        <is>
          <t>Ask / Seasonal</t>
        </is>
      </c>
    </row>
    <row r="419">
      <c r="A419" s="15">
        <f>HYPERLINK("https://shoreaquatic.com/shop/swl-chocolate-chip-star","Chocolate Chip Star")</f>
        <v/>
      </c>
      <c r="B419" s="16" t="inlineStr">
        <is>
          <t>Protoreaster Nodosus</t>
        </is>
      </c>
      <c r="C419" s="17" t="inlineStr"/>
      <c r="D419" s="17" t="inlineStr">
        <is>
          <t>Ask / Seasonal</t>
        </is>
      </c>
    </row>
    <row r="420">
      <c r="A420" s="15">
        <f>HYPERLINK("https://shoreaquatic.com/shop/swl-chocolate-chip-star-medium","Chocolate Chip Star (Medium)")</f>
        <v/>
      </c>
      <c r="B420" s="16" t="inlineStr"/>
      <c r="C420" s="17" t="inlineStr">
        <is>
          <t>Medium</t>
        </is>
      </c>
      <c r="D420" s="17" t="inlineStr">
        <is>
          <t>Ask / Seasonal</t>
        </is>
      </c>
    </row>
    <row r="421">
      <c r="A421" s="15">
        <f>HYPERLINK("https://shoreaquatic.com/shop/swl-cleaner-shrimp-extra-large","Cleaner Shrimp (Extra Large)")</f>
        <v/>
      </c>
      <c r="B421" s="16" t="inlineStr"/>
      <c r="C421" s="17" t="inlineStr">
        <is>
          <t>Extra Large</t>
        </is>
      </c>
      <c r="D421" s="17" t="inlineStr">
        <is>
          <t>Ask / Seasonal</t>
        </is>
      </c>
    </row>
    <row r="422">
      <c r="A422" s="15">
        <f>HYPERLINK("https://shoreaquatic.com/shop/swl-cleaner-shrimp-large","Cleaner Shrimp (Large)")</f>
        <v/>
      </c>
      <c r="B422" s="16" t="inlineStr"/>
      <c r="C422" s="17" t="inlineStr">
        <is>
          <t>Large</t>
        </is>
      </c>
      <c r="D422" s="17" t="inlineStr">
        <is>
          <t>Ask / Seasonal</t>
        </is>
      </c>
    </row>
    <row r="423">
      <c r="A423" s="15">
        <f>HYPERLINK("https://shoreaquatic.com/shop/swl-cleaner-shrimp-medium","Cleaner Shrimp (Medium)")</f>
        <v/>
      </c>
      <c r="B423" s="16" t="inlineStr"/>
      <c r="C423" s="17" t="inlineStr">
        <is>
          <t>Medium</t>
        </is>
      </c>
      <c r="D423" s="17" t="inlineStr">
        <is>
          <t>Ask / Seasonal</t>
        </is>
      </c>
    </row>
    <row r="424">
      <c r="A424" s="15">
        <f>HYPERLINK("https://shoreaquatic.com/shop/swl-cleaner-shrimp-medium-large","Cleaner Shrimp (Medium/Large)")</f>
        <v/>
      </c>
      <c r="B424" s="16" t="inlineStr"/>
      <c r="C424" s="17" t="inlineStr">
        <is>
          <t>Medium/Large</t>
        </is>
      </c>
      <c r="D424" s="17" t="inlineStr">
        <is>
          <t>Ask / Seasonal</t>
        </is>
      </c>
    </row>
    <row r="425">
      <c r="A425" s="15">
        <f>HYPERLINK("https://shoreaquatic.com/shop/swl-collector-urchin","Collector Urchin")</f>
        <v/>
      </c>
      <c r="B425" s="16" t="inlineStr">
        <is>
          <t>Tripneustes Gratilla</t>
        </is>
      </c>
      <c r="C425" s="17" t="inlineStr"/>
      <c r="D425" s="17" t="inlineStr">
        <is>
          <t>Ask / Seasonal</t>
        </is>
      </c>
    </row>
    <row r="426">
      <c r="A426" s="15">
        <f>HYPERLINK("https://shoreaquatic.com/shop/swl-colonial-cluster","Colonial Cluster")</f>
        <v/>
      </c>
      <c r="B426" s="16" t="inlineStr">
        <is>
          <t>Bispira Brunnea</t>
        </is>
      </c>
      <c r="C426" s="17" t="inlineStr"/>
      <c r="D426" s="17" t="inlineStr">
        <is>
          <t>Ask / Seasonal</t>
        </is>
      </c>
    </row>
    <row r="427">
      <c r="A427" s="15">
        <f>HYPERLINK("https://shoreaquatic.com/shop/swl-coral-banded-shrimp-mated-pair","Coral Banded Shrimp Mated Pair")</f>
        <v/>
      </c>
      <c r="B427" s="16" t="inlineStr">
        <is>
          <t>Stenopus Hispidus</t>
        </is>
      </c>
      <c r="C427" s="17" t="inlineStr"/>
      <c r="D427" s="17" t="inlineStr">
        <is>
          <t>Ask / Seasonal</t>
        </is>
      </c>
    </row>
    <row r="428">
      <c r="A428" s="15">
        <f>HYPERLINK("https://shoreaquatic.com/shop/swl-coral-banded-shrimp-5pk","Coral Banded Shrimp \u2014 5 Pack")</f>
        <v/>
      </c>
      <c r="B428" s="16" t="inlineStr">
        <is>
          <t>Stenopus Hispidus</t>
        </is>
      </c>
      <c r="C428" s="17" t="inlineStr">
        <is>
          <t>5-pack</t>
        </is>
      </c>
      <c r="D428" s="17" t="inlineStr">
        <is>
          <t>Ask / Seasonal</t>
        </is>
      </c>
    </row>
    <row r="429">
      <c r="A429" s="15">
        <f>HYPERLINK("https://shoreaquatic.com/shop/swl-cushion-star","Cushion Star")</f>
        <v/>
      </c>
      <c r="B429" s="16" t="inlineStr">
        <is>
          <t>Culcita Novaeguineae</t>
        </is>
      </c>
      <c r="C429" s="17" t="inlineStr"/>
      <c r="D429" s="17" t="inlineStr">
        <is>
          <t>Ask / Seasonal</t>
        </is>
      </c>
    </row>
    <row r="430">
      <c r="A430" s="15">
        <f>HYPERLINK("https://shoreaquatic.com/shop/swl-deco-arrow-crab-5pk","Deco Arrow Crab \u2014 5 Pack")</f>
        <v/>
      </c>
      <c r="B430" s="16" t="inlineStr"/>
      <c r="C430" s="17" t="inlineStr">
        <is>
          <t>5-pack</t>
        </is>
      </c>
      <c r="D430" s="17" t="inlineStr">
        <is>
          <t>Ask / Seasonal</t>
        </is>
      </c>
    </row>
    <row r="431">
      <c r="A431" s="15">
        <f>HYPERLINK("https://shoreaquatic.com/shop/swl-electric-flame-scallop-medium","Electric Flame Scallop (Medium)")</f>
        <v/>
      </c>
      <c r="B431" s="16" t="inlineStr"/>
      <c r="C431" s="17" t="inlineStr">
        <is>
          <t>Medium</t>
        </is>
      </c>
      <c r="D431" s="17" t="inlineStr">
        <is>
          <t>Ask / Seasonal</t>
        </is>
      </c>
    </row>
    <row r="432">
      <c r="A432" s="15">
        <f>HYPERLINK("https://shoreaquatic.com/shop/swl-fancy-red-leg-crab-scarlet-5pk","Fancy Red Leg Crab Scarlet \u2014 5 Pack")</f>
        <v/>
      </c>
      <c r="B432" s="16" t="inlineStr"/>
      <c r="C432" s="17" t="inlineStr">
        <is>
          <t>5-pack</t>
        </is>
      </c>
      <c r="D432" s="17" t="inlineStr">
        <is>
          <t>Ask / Seasonal</t>
        </is>
      </c>
    </row>
    <row r="433">
      <c r="A433" s="15">
        <f>HYPERLINK("https://shoreaquatic.com/shop/swl-fighting-conch-5pk","Fighting Conch \u2014 5 Pack")</f>
        <v/>
      </c>
      <c r="B433" s="16" t="inlineStr">
        <is>
          <t>Strombus Pugilis</t>
        </is>
      </c>
      <c r="C433" s="17" t="inlineStr">
        <is>
          <t>5-pack</t>
        </is>
      </c>
      <c r="D433" s="17" t="inlineStr">
        <is>
          <t>Ask / Seasonal</t>
        </is>
      </c>
    </row>
    <row r="434">
      <c r="A434" s="15">
        <f>HYPERLINK("https://shoreaquatic.com/shop/swl-fire-shrimp","Fire Shrimp")</f>
        <v/>
      </c>
      <c r="B434" s="16" t="inlineStr">
        <is>
          <t>Lysmata Debelius</t>
        </is>
      </c>
      <c r="C434" s="17" t="inlineStr"/>
      <c r="D434" s="17" t="inlineStr">
        <is>
          <t>Ask / Seasonal</t>
        </is>
      </c>
    </row>
    <row r="435">
      <c r="A435" s="15">
        <f>HYPERLINK("https://shoreaquatic.com/shop/swl-flame-scallop-5pk","Flame Scallop \u2014 5 Pack")</f>
        <v/>
      </c>
      <c r="B435" s="16" t="inlineStr">
        <is>
          <t>Lima Scabra</t>
        </is>
      </c>
      <c r="C435" s="17" t="inlineStr">
        <is>
          <t>5-pack</t>
        </is>
      </c>
      <c r="D435" s="17" t="inlineStr">
        <is>
          <t>Ask / Seasonal</t>
        </is>
      </c>
    </row>
    <row r="436">
      <c r="A436" s="15">
        <f>HYPERLINK("https://shoreaquatic.com/shop/swl-frilly-arrow-crab-5pk","Frilly Arrow Crab \u2014 5 Pack")</f>
        <v/>
      </c>
      <c r="B436" s="16" t="inlineStr"/>
      <c r="C436" s="17" t="inlineStr">
        <is>
          <t>5-pack</t>
        </is>
      </c>
      <c r="D436" s="17" t="inlineStr">
        <is>
          <t>Ask / Seasonal</t>
        </is>
      </c>
    </row>
    <row r="437">
      <c r="A437" s="15">
        <f>HYPERLINK("https://shoreaquatic.com/shop/swl-fromia-star","Fromia Star")</f>
        <v/>
      </c>
      <c r="B437" s="16" t="inlineStr">
        <is>
          <t>Fromia Elegans</t>
        </is>
      </c>
      <c r="C437" s="17" t="inlineStr"/>
      <c r="D437" s="17" t="inlineStr">
        <is>
          <t>Ask / Seasonal</t>
        </is>
      </c>
    </row>
    <row r="438">
      <c r="A438" s="15">
        <f>HYPERLINK("https://shoreaquatic.com/shop/swl-giant-hermit-crab","Giant Hermit Crab")</f>
        <v/>
      </c>
      <c r="B438" s="16" t="inlineStr">
        <is>
          <t>Petrochirus Diogenes</t>
        </is>
      </c>
      <c r="C438" s="17" t="inlineStr"/>
      <c r="D438" s="17" t="inlineStr">
        <is>
          <t>Ask / Seasonal</t>
        </is>
      </c>
    </row>
    <row r="439">
      <c r="A439" s="15">
        <f>HYPERLINK("https://shoreaquatic.com/shop/swl-gold-red-feather-duster-medium-large","Gold / Red Feather Duster (Medium/Large)")</f>
        <v/>
      </c>
      <c r="B439" s="16" t="inlineStr"/>
      <c r="C439" s="17" t="inlineStr">
        <is>
          <t>Medium/Large</t>
        </is>
      </c>
      <c r="D439" s="17" t="inlineStr">
        <is>
          <t>Ask / Seasonal</t>
        </is>
      </c>
    </row>
    <row r="440">
      <c r="A440" s="15">
        <f>HYPERLINK("https://shoreaquatic.com/shop/swl-gold-banded-shrimp","Gold Banded Shrimp")</f>
        <v/>
      </c>
      <c r="B440" s="16" t="inlineStr">
        <is>
          <t>Stenopus Scutellatus</t>
        </is>
      </c>
      <c r="C440" s="17" t="inlineStr"/>
      <c r="D440" s="17" t="inlineStr">
        <is>
          <t>Ask / Seasonal</t>
        </is>
      </c>
    </row>
    <row r="441">
      <c r="A441" s="15">
        <f>HYPERLINK("https://shoreaquatic.com/shop/swl-gold-banded-shrimp-mated-pair","Gold Banded Shrimp Mated Pair")</f>
        <v/>
      </c>
      <c r="B441" s="16" t="inlineStr">
        <is>
          <t>Stenopus Scutellatus</t>
        </is>
      </c>
      <c r="C441" s="17" t="inlineStr"/>
      <c r="D441" s="17" t="inlineStr">
        <is>
          <t>Ask / Seasonal</t>
        </is>
      </c>
    </row>
    <row r="442">
      <c r="A442" s="15">
        <f>HYPERLINK("https://shoreaquatic.com/shop/swl-gold-ring-cowrie-5pk","Gold Ring Cowrie \u2014 5 Pack")</f>
        <v/>
      </c>
      <c r="B442" s="16" t="inlineStr">
        <is>
          <t>Monetaria Annulus</t>
        </is>
      </c>
      <c r="C442" s="17" t="inlineStr">
        <is>
          <t>5-pack</t>
        </is>
      </c>
      <c r="D442" s="17" t="inlineStr">
        <is>
          <t>Ask / Seasonal</t>
        </is>
      </c>
    </row>
    <row r="443">
      <c r="A443" s="15">
        <f>HYPERLINK("https://shoreaquatic.com/shop/swl-green-emerald-crab-5pk","Green Emerald Crab \u2014 5 Pack")</f>
        <v/>
      </c>
      <c r="B443" s="16" t="inlineStr"/>
      <c r="C443" s="17" t="inlineStr">
        <is>
          <t>5-pack</t>
        </is>
      </c>
      <c r="D443" s="17" t="inlineStr">
        <is>
          <t>Ask / Seasonal</t>
        </is>
      </c>
    </row>
    <row r="444">
      <c r="A444" s="15">
        <f>HYPERLINK("https://shoreaquatic.com/shop/swl-green-emerald-crab-5pk-2","Green Emerald Crab \u2014 5 Pack")</f>
        <v/>
      </c>
      <c r="B444" s="16" t="inlineStr">
        <is>
          <t>Mithrax Sculptus</t>
        </is>
      </c>
      <c r="C444" s="17" t="inlineStr">
        <is>
          <t>5-pack</t>
        </is>
      </c>
      <c r="D444" s="17" t="inlineStr">
        <is>
          <t>Ask / Seasonal</t>
        </is>
      </c>
    </row>
    <row r="445">
      <c r="A445" s="15">
        <f>HYPERLINK("https://shoreaquatic.com/shop/swl-haitian-red-knobby-star","Haitian Red Knobby Star")</f>
        <v/>
      </c>
      <c r="B445" s="16" t="inlineStr">
        <is>
          <t>Echinaster Echinophorus</t>
        </is>
      </c>
      <c r="C445" s="17" t="inlineStr"/>
      <c r="D445" s="17" t="inlineStr">
        <is>
          <t>Ask / Seasonal</t>
        </is>
      </c>
    </row>
    <row r="446">
      <c r="A446" s="15">
        <f>HYPERLINK("https://shoreaquatic.com/shop/swl-halloween-hermit-crab-5pk","Halloween Hermit Crab \u2014 5 Pack")</f>
        <v/>
      </c>
      <c r="B446" s="16" t="inlineStr">
        <is>
          <t>Ciliopagurus Strigatus</t>
        </is>
      </c>
      <c r="C446" s="17" t="inlineStr">
        <is>
          <t>5-pack</t>
        </is>
      </c>
      <c r="D446" s="17" t="inlineStr">
        <is>
          <t>Ask / Seasonal</t>
        </is>
      </c>
    </row>
    <row r="447">
      <c r="A447" s="15">
        <f>HYPERLINK("https://shoreaquatic.com/shop/swl-harlequin-shrimp","Harlequin Shrimp")</f>
        <v/>
      </c>
      <c r="B447" s="16" t="inlineStr">
        <is>
          <t>Hymenocera Picta</t>
        </is>
      </c>
      <c r="C447" s="17" t="inlineStr"/>
      <c r="D447" s="17" t="inlineStr">
        <is>
          <t>Ask / Seasonal</t>
        </is>
      </c>
    </row>
    <row r="448">
      <c r="A448" s="15">
        <f>HYPERLINK("https://shoreaquatic.com/shop/swl-harlequin-shrimp-medium","Harlequin Shrimp (Medium)")</f>
        <v/>
      </c>
      <c r="B448" s="16" t="inlineStr"/>
      <c r="C448" s="17" t="inlineStr">
        <is>
          <t>Medium</t>
        </is>
      </c>
      <c r="D448" s="17" t="inlineStr">
        <is>
          <t>Ask / Seasonal</t>
        </is>
      </c>
    </row>
    <row r="449">
      <c r="A449" s="15">
        <f>HYPERLINK("https://shoreaquatic.com/shop/swl-jap-red-pistol-shrimp-small","Jap. Red Pistol Shrimp (Small)")</f>
        <v/>
      </c>
      <c r="B449" s="16" t="inlineStr"/>
      <c r="C449" s="17" t="inlineStr">
        <is>
          <t>Small</t>
        </is>
      </c>
      <c r="D449" s="17" t="inlineStr">
        <is>
          <t>Ask / Seasonal</t>
        </is>
      </c>
    </row>
    <row r="450">
      <c r="A450" s="15">
        <f>HYPERLINK("https://shoreaquatic.com/shop/swl-lettuce-nudibranch-5pk","Lettuce Nudibranch \u2014 5 Pack")</f>
        <v/>
      </c>
      <c r="B450" s="16" t="inlineStr">
        <is>
          <t>Elysia Crispata</t>
        </is>
      </c>
      <c r="C450" s="17" t="inlineStr">
        <is>
          <t>5-pack</t>
        </is>
      </c>
      <c r="D450" s="17" t="inlineStr">
        <is>
          <t>Ask / Seasonal</t>
        </is>
      </c>
    </row>
    <row r="451">
      <c r="A451" s="15">
        <f>HYPERLINK("https://shoreaquatic.com/shop/swl-long-spine-urchin","Long Spine Urchin")</f>
        <v/>
      </c>
      <c r="B451" s="16" t="inlineStr">
        <is>
          <t>Diadema Setosum</t>
        </is>
      </c>
      <c r="C451" s="17" t="inlineStr"/>
      <c r="D451" s="17" t="inlineStr">
        <is>
          <t>Ask / Seasonal</t>
        </is>
      </c>
    </row>
    <row r="452">
      <c r="A452" s="15">
        <f>HYPERLINK("https://shoreaquatic.com/shop/swl-long-spine-urchin-black-medium","Long Spine Urchin Black (Medium)")</f>
        <v/>
      </c>
      <c r="B452" s="16" t="inlineStr"/>
      <c r="C452" s="17" t="inlineStr">
        <is>
          <t>Medium</t>
        </is>
      </c>
      <c r="D452" s="17" t="inlineStr">
        <is>
          <t>Ask / Seasonal</t>
        </is>
      </c>
    </row>
    <row r="453">
      <c r="A453" s="15">
        <f>HYPERLINK("https://shoreaquatic.com/shop/swl-mantis-shrimp-atl-medium","Mantis Shrimp Atl (Medium)")</f>
        <v/>
      </c>
      <c r="B453" s="16" t="inlineStr"/>
      <c r="C453" s="17" t="inlineStr">
        <is>
          <t>Medium</t>
        </is>
      </c>
      <c r="D453" s="17" t="inlineStr">
        <is>
          <t>Ask / Seasonal</t>
        </is>
      </c>
    </row>
    <row r="454">
      <c r="A454" s="15">
        <f>HYPERLINK("https://shoreaquatic.com/shop/swl-margarita-snail-black-pacific-25pk","Margarita Snail Black (Pacific) \u2014 25 Pack")</f>
        <v/>
      </c>
      <c r="B454" s="16" t="inlineStr">
        <is>
          <t>Margarites Pupillus</t>
        </is>
      </c>
      <c r="C454" s="17" t="inlineStr">
        <is>
          <t>25-pack</t>
        </is>
      </c>
      <c r="D454" s="17" t="inlineStr">
        <is>
          <t>Ask / Seasonal</t>
        </is>
      </c>
    </row>
    <row r="455">
      <c r="A455" s="15">
        <f>HYPERLINK("https://shoreaquatic.com/shop/swl-margarita-snail-purple-pacific-25pk","Margarita Snail Purple (Pacific) \u2014 25 Pack")</f>
        <v/>
      </c>
      <c r="B455" s="16" t="inlineStr">
        <is>
          <t>Margarites Pupillus</t>
        </is>
      </c>
      <c r="C455" s="17" t="inlineStr">
        <is>
          <t>25-pack</t>
        </is>
      </c>
      <c r="D455" s="17" t="inlineStr">
        <is>
          <t>Ask / Seasonal</t>
        </is>
      </c>
    </row>
    <row r="456">
      <c r="A456" s="15">
        <f>HYPERLINK("https://shoreaquatic.com/shop/swl-medusa-worm","Medusa Worm")</f>
        <v/>
      </c>
      <c r="B456" s="16" t="inlineStr">
        <is>
          <t>Opheodesoma Sp</t>
        </is>
      </c>
      <c r="C456" s="17" t="inlineStr"/>
      <c r="D456" s="17" t="inlineStr">
        <is>
          <t>Ask / Seasonal</t>
        </is>
      </c>
    </row>
    <row r="457">
      <c r="A457" s="15">
        <f>HYPERLINK("https://shoreaquatic.com/shop/swl-mexican-turbo-snail-indo-5pk","Mexican Turbo Snail Indo \u2014 5 Pack")</f>
        <v/>
      </c>
      <c r="B457" s="16" t="inlineStr"/>
      <c r="C457" s="17" t="inlineStr">
        <is>
          <t>5-pack</t>
        </is>
      </c>
      <c r="D457" s="17" t="inlineStr">
        <is>
          <t>Ask / Seasonal</t>
        </is>
      </c>
    </row>
    <row r="458">
      <c r="A458" s="15">
        <f>HYPERLINK("https://shoreaquatic.com/shop/swl-mexican-turbo-snails-5pk","Mexican Turbo Snails \u2014 5 Pack")</f>
        <v/>
      </c>
      <c r="B458" s="16" t="inlineStr">
        <is>
          <t>Turbo Fluctuosus</t>
        </is>
      </c>
      <c r="C458" s="17" t="inlineStr">
        <is>
          <t>5-pack</t>
        </is>
      </c>
      <c r="D458" s="17" t="inlineStr">
        <is>
          <t>Ask / Seasonal</t>
        </is>
      </c>
    </row>
    <row r="459">
      <c r="A459" s="15">
        <f>HYPERLINK("https://shoreaquatic.com/shop/swl-nassarius-snail-marble-5pk","Nassarius Snail Marble \u2014 5 Pack")</f>
        <v/>
      </c>
      <c r="B459" s="16" t="inlineStr"/>
      <c r="C459" s="17" t="inlineStr">
        <is>
          <t>5-pack</t>
        </is>
      </c>
      <c r="D459" s="17" t="inlineStr">
        <is>
          <t>Ask / Seasonal</t>
        </is>
      </c>
    </row>
    <row r="460">
      <c r="A460" s="15">
        <f>HYPERLINK("https://shoreaquatic.com/shop/swl-nassarius-vibex-25pk","Nassarius Vibex \u2014 25 Pack")</f>
        <v/>
      </c>
      <c r="B460" s="16" t="inlineStr">
        <is>
          <t>Nassarius Vibex</t>
        </is>
      </c>
      <c r="C460" s="17" t="inlineStr">
        <is>
          <t>25-pack</t>
        </is>
      </c>
      <c r="D460" s="17" t="inlineStr">
        <is>
          <t>Ask / Seasonal</t>
        </is>
      </c>
    </row>
    <row r="461">
      <c r="A461" s="15">
        <f>HYPERLINK("https://shoreaquatic.com/shop/swl-nerite-snail-25pk","Nerite Snail \u2014 25 Pack")</f>
        <v/>
      </c>
      <c r="B461" s="16" t="inlineStr">
        <is>
          <t>Nerita Spp</t>
        </is>
      </c>
      <c r="C461" s="17" t="inlineStr">
        <is>
          <t>25-pack</t>
        </is>
      </c>
      <c r="D461" s="17" t="inlineStr">
        <is>
          <t>Ask / Seasonal</t>
        </is>
      </c>
    </row>
    <row r="462">
      <c r="A462" s="15">
        <f>HYPERLINK("https://shoreaquatic.com/shop/swl-olive-snail-5pk","Olive Snail \u2014 5 Pack")</f>
        <v/>
      </c>
      <c r="B462" s="16" t="inlineStr">
        <is>
          <t>Oliva Sayana</t>
        </is>
      </c>
      <c r="C462" s="17" t="inlineStr">
        <is>
          <t>5-pack</t>
        </is>
      </c>
      <c r="D462" s="17" t="inlineStr">
        <is>
          <t>Ask / Seasonal</t>
        </is>
      </c>
    </row>
    <row r="463">
      <c r="A463" s="15">
        <f>HYPERLINK("https://shoreaquatic.com/shop/swl-orange-linkia","Orange Linkia")</f>
        <v/>
      </c>
      <c r="B463" s="16" t="inlineStr">
        <is>
          <t>Linkia Sp.</t>
        </is>
      </c>
      <c r="C463" s="17" t="inlineStr"/>
      <c r="D463" s="17" t="inlineStr">
        <is>
          <t>Ask / Seasonal</t>
        </is>
      </c>
    </row>
    <row r="464">
      <c r="A464" s="15">
        <f>HYPERLINK("https://shoreaquatic.com/shop/swl-pacific-cleaner-shrimp","Pacific Cleaner Shrimp")</f>
        <v/>
      </c>
      <c r="B464" s="16" t="inlineStr">
        <is>
          <t>Lysmata Amboinensis</t>
        </is>
      </c>
      <c r="C464" s="17" t="inlineStr"/>
      <c r="D464" s="17" t="inlineStr">
        <is>
          <t>Ask / Seasonal</t>
        </is>
      </c>
    </row>
    <row r="465">
      <c r="A465" s="15">
        <f>HYPERLINK("https://shoreaquatic.com/shop/swl-pacific-red-leg-hermits-10pk","Pacific Red Leg Hermits \u2014 10 Pack")</f>
        <v/>
      </c>
      <c r="B465" s="16" t="inlineStr">
        <is>
          <t>Clibanarius Diguetti</t>
        </is>
      </c>
      <c r="C465" s="17" t="inlineStr">
        <is>
          <t>10-pack</t>
        </is>
      </c>
      <c r="D465" s="17" t="inlineStr">
        <is>
          <t>Ask / Seasonal</t>
        </is>
      </c>
    </row>
    <row r="466">
      <c r="A466" s="15">
        <f>HYPERLINK("https://shoreaquatic.com/shop/swl-peacock-mantis-shrimp","Peacock Mantis Shrimp")</f>
        <v/>
      </c>
      <c r="B466" s="16" t="inlineStr">
        <is>
          <t>Odontodactylus Sp.</t>
        </is>
      </c>
      <c r="C466" s="17" t="inlineStr"/>
      <c r="D466" s="17" t="inlineStr">
        <is>
          <t>Ask / Seasonal</t>
        </is>
      </c>
    </row>
    <row r="467">
      <c r="A467" s="15">
        <f>HYPERLINK("https://shoreaquatic.com/shop/swl-pencil-urchin-5pk","Pencil Urchin \u2014 5 Pack")</f>
        <v/>
      </c>
      <c r="B467" s="16" t="inlineStr">
        <is>
          <t>Eucidaris Tribuloides</t>
        </is>
      </c>
      <c r="C467" s="17" t="inlineStr">
        <is>
          <t>5-pack</t>
        </is>
      </c>
      <c r="D467" s="17" t="inlineStr">
        <is>
          <t>Ask / Seasonal</t>
        </is>
      </c>
    </row>
    <row r="468">
      <c r="A468" s="15">
        <f>HYPERLINK("https://shoreaquatic.com/shop/swl-peppermint-shrimp-5pk","Peppermint Shrimp \u2014 5 Pack")</f>
        <v/>
      </c>
      <c r="B468" s="16" t="inlineStr"/>
      <c r="C468" s="17" t="inlineStr">
        <is>
          <t>5-pack</t>
        </is>
      </c>
      <c r="D468" s="17" t="inlineStr">
        <is>
          <t>Ask / Seasonal</t>
        </is>
      </c>
    </row>
    <row r="469">
      <c r="A469" s="15">
        <f>HYPERLINK("https://shoreaquatic.com/shop/swl-peppermint-shrimp-5pk-2","Peppermint Shrimp \u2014 5 Pack")</f>
        <v/>
      </c>
      <c r="B469" s="16" t="inlineStr">
        <is>
          <t>Lysmata Wurdemanni</t>
        </is>
      </c>
      <c r="C469" s="17" t="inlineStr">
        <is>
          <t>5-pack</t>
        </is>
      </c>
      <c r="D469" s="17" t="inlineStr">
        <is>
          <t>Ask / Seasonal</t>
        </is>
      </c>
    </row>
    <row r="470">
      <c r="A470" s="15">
        <f>HYPERLINK("https://shoreaquatic.com/shop/swl-philippines-turbo-5pk","Philippines Turbo \u2014 5 Pack")</f>
        <v/>
      </c>
      <c r="B470" s="16" t="inlineStr">
        <is>
          <t>Turbo Sp.</t>
        </is>
      </c>
      <c r="C470" s="17" t="inlineStr">
        <is>
          <t>5-pack</t>
        </is>
      </c>
      <c r="D470" s="17" t="inlineStr">
        <is>
          <t>Ask / Seasonal</t>
        </is>
      </c>
    </row>
    <row r="471">
      <c r="A471" s="15">
        <f>HYPERLINK("https://shoreaquatic.com/shop/swl-pin-cushion-urchins-5pk","Pin Cushion Urchins \u2014 5 Pack")</f>
        <v/>
      </c>
      <c r="B471" s="16" t="inlineStr">
        <is>
          <t>Pseudoboletia Sp</t>
        </is>
      </c>
      <c r="C471" s="17" t="inlineStr">
        <is>
          <t>5-pack</t>
        </is>
      </c>
      <c r="D471" s="17" t="inlineStr">
        <is>
          <t>Ask / Seasonal</t>
        </is>
      </c>
    </row>
    <row r="472">
      <c r="A472" s="15">
        <f>HYPERLINK("https://shoreaquatic.com/shop/swl-pink-red-coco-worm-small","Pink /Red Coco Worm (Small)")</f>
        <v/>
      </c>
      <c r="B472" s="16" t="inlineStr"/>
      <c r="C472" s="17" t="inlineStr">
        <is>
          <t>Small</t>
        </is>
      </c>
      <c r="D472" s="17" t="inlineStr">
        <is>
          <t>Ask / Seasonal</t>
        </is>
      </c>
    </row>
    <row r="473">
      <c r="A473" s="15">
        <f>HYPERLINK("https://shoreaquatic.com/shop/swl-pitho-crab-5pk","Pitho Crab \u2014 5 Pack")</f>
        <v/>
      </c>
      <c r="B473" s="16" t="inlineStr"/>
      <c r="C473" s="17" t="inlineStr">
        <is>
          <t>5-pack</t>
        </is>
      </c>
      <c r="D473" s="17" t="inlineStr">
        <is>
          <t>Ask / Seasonal</t>
        </is>
      </c>
    </row>
    <row r="474">
      <c r="A474" s="15">
        <f>HYPERLINK("https://shoreaquatic.com/shop/swl-pitho-crab-5pk-2","Pitho Crab \u2014 5 Pack")</f>
        <v/>
      </c>
      <c r="B474" s="16" t="inlineStr">
        <is>
          <t>Pitho Mirabilis</t>
        </is>
      </c>
      <c r="C474" s="17" t="inlineStr">
        <is>
          <t>5-pack</t>
        </is>
      </c>
      <c r="D474" s="17" t="inlineStr">
        <is>
          <t>Ask / Seasonal</t>
        </is>
      </c>
    </row>
    <row r="475">
      <c r="A475" s="15">
        <f>HYPERLINK("https://shoreaquatic.com/shop/swl-pom-pom-crab","Pom Pom Crab")</f>
        <v/>
      </c>
      <c r="B475" s="16" t="inlineStr">
        <is>
          <t>Lybia Tesselata</t>
        </is>
      </c>
      <c r="C475" s="17" t="inlineStr"/>
      <c r="D475" s="17" t="inlineStr">
        <is>
          <t>Ask / Seasonal</t>
        </is>
      </c>
    </row>
    <row r="476">
      <c r="A476" s="15">
        <f>HYPERLINK("https://shoreaquatic.com/shop/swl-pom-pom-crab-small","Pom Pom Crab (Small)")</f>
        <v/>
      </c>
      <c r="B476" s="16" t="inlineStr"/>
      <c r="C476" s="17" t="inlineStr">
        <is>
          <t>Small</t>
        </is>
      </c>
      <c r="D476" s="17" t="inlineStr">
        <is>
          <t>Ask / Seasonal</t>
        </is>
      </c>
    </row>
    <row r="477">
      <c r="A477" s="15">
        <f>HYPERLINK("https://shoreaquatic.com/shop/swl-porcelain-crab-5pk","Porcelain Crab \u2014 5 Pack")</f>
        <v/>
      </c>
      <c r="B477" s="16" t="inlineStr">
        <is>
          <t>Porcellana Sayana</t>
        </is>
      </c>
      <c r="C477" s="17" t="inlineStr">
        <is>
          <t>5-pack</t>
        </is>
      </c>
      <c r="D477" s="17" t="inlineStr">
        <is>
          <t>Ask / Seasonal</t>
        </is>
      </c>
    </row>
    <row r="478">
      <c r="A478" s="15">
        <f>HYPERLINK("https://shoreaquatic.com/shop/swl-purple-pin-cushion-urchins-5pk","Purple Pin Cushion Urchins \u2014 5 Pack")</f>
        <v/>
      </c>
      <c r="B478" s="16" t="inlineStr">
        <is>
          <t>Pseudoboletia Sp</t>
        </is>
      </c>
      <c r="C478" s="17" t="inlineStr">
        <is>
          <t>5-pack</t>
        </is>
      </c>
      <c r="D478" s="17" t="inlineStr">
        <is>
          <t>Ask / Seasonal</t>
        </is>
      </c>
    </row>
    <row r="479">
      <c r="A479" s="15">
        <f>HYPERLINK("https://shoreaquatic.com/shop/swl-red-ball-sponge","Red Ball Sponge")</f>
        <v/>
      </c>
      <c r="B479" s="16" t="inlineStr">
        <is>
          <t>Psuadaxinella Lunaecharta</t>
        </is>
      </c>
      <c r="C479" s="17" t="inlineStr"/>
      <c r="D479" s="17" t="inlineStr">
        <is>
          <t>Ask / Seasonal</t>
        </is>
      </c>
    </row>
    <row r="480">
      <c r="A480" s="15">
        <f>HYPERLINK("https://shoreaquatic.com/shop/swl-red-ball-sponge-atl-medium-large","Red Ball Sponge Atl (Medium/Large)")</f>
        <v/>
      </c>
      <c r="B480" s="16" t="inlineStr"/>
      <c r="C480" s="17" t="inlineStr">
        <is>
          <t>Medium/Large</t>
        </is>
      </c>
      <c r="D480" s="17" t="inlineStr">
        <is>
          <t>Ask / Seasonal</t>
        </is>
      </c>
    </row>
    <row r="481">
      <c r="A481" s="15">
        <f>HYPERLINK("https://shoreaquatic.com/shop/swl-red-coco-worm","Red Coco Worm")</f>
        <v/>
      </c>
      <c r="B481" s="16" t="inlineStr">
        <is>
          <t>Sabellastarte Sp.</t>
        </is>
      </c>
      <c r="C481" s="17" t="inlineStr"/>
      <c r="D481" s="17" t="inlineStr">
        <is>
          <t>Ask / Seasonal</t>
        </is>
      </c>
    </row>
    <row r="482">
      <c r="A482" s="15">
        <f>HYPERLINK("https://shoreaquatic.com/shop/swl-red-feather-star","Red Feather Star")</f>
        <v/>
      </c>
      <c r="B482" s="16" t="inlineStr">
        <is>
          <t>Himerometra Palmata</t>
        </is>
      </c>
      <c r="C482" s="17" t="inlineStr"/>
      <c r="D482" s="17" t="inlineStr">
        <is>
          <t>Ask / Seasonal</t>
        </is>
      </c>
    </row>
    <row r="483">
      <c r="A483" s="15">
        <f>HYPERLINK("https://shoreaquatic.com/shop/swl-red-frilly-sponge","Red Frilly Sponge")</f>
        <v/>
      </c>
      <c r="B483" s="16" t="inlineStr">
        <is>
          <t>Halichondria Spp</t>
        </is>
      </c>
      <c r="C483" s="17" t="inlineStr"/>
      <c r="D483" s="17" t="inlineStr">
        <is>
          <t>Ask / Seasonal</t>
        </is>
      </c>
    </row>
    <row r="484">
      <c r="A484" s="15">
        <f>HYPERLINK("https://shoreaquatic.com/shop/sw-hermit-scarlet-10","Red Legged Scarlet Hermit Crabs — 10 Pack")</f>
        <v/>
      </c>
      <c r="B484" s="16" t="inlineStr">
        <is>
          <t>Paguristes cadenati</t>
        </is>
      </c>
      <c r="C484" s="17" t="inlineStr">
        <is>
          <t>Juvenile to sub-adult (0.5–1 in)</t>
        </is>
      </c>
      <c r="D484" s="17" t="inlineStr">
        <is>
          <t>In Stock</t>
        </is>
      </c>
    </row>
    <row r="485">
      <c r="A485" s="15">
        <f>HYPERLINK("https://shoreaquatic.com/shop/sw-hermit-scarlet-20","Red Legged Scarlet Hermit Crabs — 20 Pack")</f>
        <v/>
      </c>
      <c r="B485" s="16" t="inlineStr">
        <is>
          <t>Paguristes cadenati</t>
        </is>
      </c>
      <c r="C485" s="17" t="inlineStr">
        <is>
          <t>Juvenile to sub-adult (0.5–1 in)</t>
        </is>
      </c>
      <c r="D485" s="17" t="inlineStr">
        <is>
          <t>In Stock</t>
        </is>
      </c>
    </row>
    <row r="486">
      <c r="A486" s="15">
        <f>HYPERLINK("https://shoreaquatic.com/shop/sw-hermit-scarlet-5","Red Legged Scarlet Hermit Crabs — 5 Pack")</f>
        <v/>
      </c>
      <c r="B486" s="16" t="inlineStr">
        <is>
          <t>Paguristes cadenati</t>
        </is>
      </c>
      <c r="C486" s="17" t="inlineStr">
        <is>
          <t>Juvenile to sub-adult (0.5–1 in)</t>
        </is>
      </c>
      <c r="D486" s="17" t="inlineStr">
        <is>
          <t>In Stock</t>
        </is>
      </c>
    </row>
    <row r="487">
      <c r="A487" s="15">
        <f>HYPERLINK("https://shoreaquatic.com/shop/swl-red-legged-scarlet-hermit-10pk","Red Legged/ Scarlet Hermit \u2014 10 Pack")</f>
        <v/>
      </c>
      <c r="B487" s="16" t="inlineStr">
        <is>
          <t>Paguristes Cadenati</t>
        </is>
      </c>
      <c r="C487" s="17" t="inlineStr">
        <is>
          <t>10-pack</t>
        </is>
      </c>
      <c r="D487" s="17" t="inlineStr">
        <is>
          <t>Ask / Seasonal</t>
        </is>
      </c>
    </row>
    <row r="488">
      <c r="A488" s="15">
        <f>HYPERLINK("https://shoreaquatic.com/shop/swl-red-serpent-star","Red Serpent Star")</f>
        <v/>
      </c>
      <c r="B488" s="16" t="inlineStr">
        <is>
          <t>Ophioderma Sp.</t>
        </is>
      </c>
      <c r="C488" s="17" t="inlineStr"/>
      <c r="D488" s="17" t="inlineStr">
        <is>
          <t>Ask / Seasonal</t>
        </is>
      </c>
    </row>
    <row r="489">
      <c r="A489" s="15">
        <f>HYPERLINK("https://shoreaquatic.com/shop/swl-red-starfish","Red Starfish")</f>
        <v/>
      </c>
      <c r="B489" s="16" t="inlineStr">
        <is>
          <t>Echinaster Purpureus</t>
        </is>
      </c>
      <c r="C489" s="17" t="inlineStr"/>
      <c r="D489" s="17" t="inlineStr">
        <is>
          <t>Ask / Seasonal</t>
        </is>
      </c>
    </row>
    <row r="490">
      <c r="A490" s="15">
        <f>HYPERLINK("https://shoreaquatic.com/shop/swl-red-stripe-black-foot-trochus-5pk","Red Stripe/Black Foot Trochus \u2014 5 Pack")</f>
        <v/>
      </c>
      <c r="B490" s="16" t="inlineStr">
        <is>
          <t>Trochus Histrio</t>
        </is>
      </c>
      <c r="C490" s="17" t="inlineStr">
        <is>
          <t>5-pack</t>
        </is>
      </c>
      <c r="D490" s="17" t="inlineStr">
        <is>
          <t>Ask / Seasonal</t>
        </is>
      </c>
    </row>
    <row r="491">
      <c r="A491" s="15">
        <f>HYPERLINK("https://shoreaquatic.com/shop/swl-sally-light-foot-5pk","Sally Light Foot \u2014 5 Pack")</f>
        <v/>
      </c>
      <c r="B491" s="16" t="inlineStr">
        <is>
          <t>Percnon Gibbesi</t>
        </is>
      </c>
      <c r="C491" s="17" t="inlineStr">
        <is>
          <t>5-pack</t>
        </is>
      </c>
      <c r="D491" s="17" t="inlineStr">
        <is>
          <t>Ask / Seasonal</t>
        </is>
      </c>
    </row>
    <row r="492">
      <c r="A492" s="15">
        <f>HYPERLINK("https://shoreaquatic.com/shop/swl-sand-sifting-cucumber-5pk","Sand Sifting Cucumber \u2014 5 Pack")</f>
        <v/>
      </c>
      <c r="B492" s="16" t="inlineStr">
        <is>
          <t>Holothuria Spp.</t>
        </is>
      </c>
      <c r="C492" s="17" t="inlineStr">
        <is>
          <t>5-pack</t>
        </is>
      </c>
      <c r="D492" s="17" t="inlineStr">
        <is>
          <t>Ask / Seasonal</t>
        </is>
      </c>
    </row>
    <row r="493">
      <c r="A493" s="15">
        <f>HYPERLINK("https://shoreaquatic.com/shop/swl-sand-sifting-star","Sand Sifting Star")</f>
        <v/>
      </c>
      <c r="B493" s="16" t="inlineStr">
        <is>
          <t>Archaster Typicus</t>
        </is>
      </c>
      <c r="C493" s="17" t="inlineStr"/>
      <c r="D493" s="17" t="inlineStr">
        <is>
          <t>Ask / Seasonal</t>
        </is>
      </c>
    </row>
    <row r="494">
      <c r="A494" s="15">
        <f>HYPERLINK("https://shoreaquatic.com/shop/swl-sand-star-medium-large","Sand Star (Medium/Large)")</f>
        <v/>
      </c>
      <c r="B494" s="16" t="inlineStr"/>
      <c r="C494" s="17" t="inlineStr">
        <is>
          <t>Medium/Large</t>
        </is>
      </c>
      <c r="D494" s="17" t="inlineStr">
        <is>
          <t>Ask / Seasonal</t>
        </is>
      </c>
    </row>
    <row r="495">
      <c r="A495" s="15">
        <f>HYPERLINK("https://shoreaquatic.com/shop/swl-sand-star-s-m","Sand Star (S/M)")</f>
        <v/>
      </c>
      <c r="B495" s="16" t="inlineStr"/>
      <c r="C495" s="17" t="inlineStr">
        <is>
          <t>S/M</t>
        </is>
      </c>
      <c r="D495" s="17" t="inlineStr">
        <is>
          <t>Ask / Seasonal</t>
        </is>
      </c>
    </row>
    <row r="496">
      <c r="A496" s="15">
        <f>HYPERLINK("https://shoreaquatic.com/shop/swl-sea-cucumber-black-medium-large","Sea Cucumber Black (Medium/Large)")</f>
        <v/>
      </c>
      <c r="B496" s="16" t="inlineStr"/>
      <c r="C496" s="17" t="inlineStr">
        <is>
          <t>Medium/Large</t>
        </is>
      </c>
      <c r="D496" s="17" t="inlineStr">
        <is>
          <t>Ask / Seasonal</t>
        </is>
      </c>
    </row>
    <row r="497">
      <c r="A497" s="15">
        <f>HYPERLINK("https://shoreaquatic.com/shop/swl-sea-cucumber-red-medium-large","Sea Cucumber Red (Medium/Large)")</f>
        <v/>
      </c>
      <c r="B497" s="16" t="inlineStr"/>
      <c r="C497" s="17" t="inlineStr">
        <is>
          <t>Medium/Large</t>
        </is>
      </c>
      <c r="D497" s="17" t="inlineStr">
        <is>
          <t>Ask / Seasonal</t>
        </is>
      </c>
    </row>
    <row r="498">
      <c r="A498" s="15">
        <f>HYPERLINK("https://shoreaquatic.com/shop/swl-sea-hare","Sea Hare")</f>
        <v/>
      </c>
      <c r="B498" s="16" t="inlineStr">
        <is>
          <t>Dolabella Auricularia</t>
        </is>
      </c>
      <c r="C498" s="17" t="inlineStr"/>
      <c r="D498" s="17" t="inlineStr">
        <is>
          <t>Ask / Seasonal</t>
        </is>
      </c>
    </row>
    <row r="499">
      <c r="A499" s="15">
        <f>HYPERLINK("https://shoreaquatic.com/shop/swl-sea-hare-medium","Sea Hare (Medium)")</f>
        <v/>
      </c>
      <c r="B499" s="16" t="inlineStr"/>
      <c r="C499" s="17" t="inlineStr">
        <is>
          <t>Medium</t>
        </is>
      </c>
      <c r="D499" s="17" t="inlineStr">
        <is>
          <t>Ask / Seasonal</t>
        </is>
      </c>
    </row>
    <row r="500">
      <c r="A500" s="15">
        <f>HYPERLINK("https://shoreaquatic.com/shop/swl-sea-hare-medium-large","Sea Hare (Medium/Large)")</f>
        <v/>
      </c>
      <c r="B500" s="16" t="inlineStr"/>
      <c r="C500" s="17" t="inlineStr">
        <is>
          <t>Medium/Large</t>
        </is>
      </c>
      <c r="D500" s="17" t="inlineStr">
        <is>
          <t>Ask / Seasonal</t>
        </is>
      </c>
    </row>
    <row r="501">
      <c r="A501" s="15">
        <f>HYPERLINK("https://shoreaquatic.com/shop/swl-sea-hare-small","Sea Hare (Small)")</f>
        <v/>
      </c>
      <c r="B501" s="16" t="inlineStr"/>
      <c r="C501" s="17" t="inlineStr">
        <is>
          <t>Small</t>
        </is>
      </c>
      <c r="D501" s="17" t="inlineStr">
        <is>
          <t>Ask / Seasonal</t>
        </is>
      </c>
    </row>
    <row r="502">
      <c r="A502" s="15">
        <f>HYPERLINK("https://shoreaquatic.com/shop/swl-serpent-star-5pk","Serpent Star \u2014 5 Pack")</f>
        <v/>
      </c>
      <c r="B502" s="16" t="inlineStr">
        <is>
          <t>Ophioderma Appressum</t>
        </is>
      </c>
      <c r="C502" s="17" t="inlineStr">
        <is>
          <t>5-pack</t>
        </is>
      </c>
      <c r="D502" s="17" t="inlineStr">
        <is>
          <t>Ask / Seasonal</t>
        </is>
      </c>
    </row>
    <row r="503">
      <c r="A503" s="15">
        <f>HYPERLINK("https://shoreaquatic.com/shop/swl-sexy-shrimp","Sexy Shrimp")</f>
        <v/>
      </c>
      <c r="B503" s="16" t="inlineStr">
        <is>
          <t>Thor Amboinensis</t>
        </is>
      </c>
      <c r="C503" s="17" t="inlineStr"/>
      <c r="D503" s="17" t="inlineStr">
        <is>
          <t>Ask / Seasonal</t>
        </is>
      </c>
    </row>
    <row r="504">
      <c r="A504" s="15">
        <f>HYPERLINK("https://shoreaquatic.com/shop/swl-sexy-shrimp-small","Sexy Shrimp (Small)")</f>
        <v/>
      </c>
      <c r="B504" s="16" t="inlineStr"/>
      <c r="C504" s="17" t="inlineStr">
        <is>
          <t>Small</t>
        </is>
      </c>
      <c r="D504" s="17" t="inlineStr">
        <is>
          <t>Ask / Seasonal</t>
        </is>
      </c>
    </row>
    <row r="505">
      <c r="A505" s="15">
        <f>HYPERLINK("https://shoreaquatic.com/shop/swl-small-horseshoe-5pk","Small Horseshoe \u2014 5 Pack")</f>
        <v/>
      </c>
      <c r="B505" s="16" t="inlineStr">
        <is>
          <t>Limulus Polyphemus</t>
        </is>
      </c>
      <c r="C505" s="17" t="inlineStr">
        <is>
          <t>5-pack</t>
        </is>
      </c>
      <c r="D505" s="17" t="inlineStr">
        <is>
          <t>Ask / Seasonal</t>
        </is>
      </c>
    </row>
    <row r="506">
      <c r="A506" s="15">
        <f>HYPERLINK("https://shoreaquatic.com/shop/swl-smooth-pink-red-sea-cucumber","Smooth Pink/Red Sea Cucumber")</f>
        <v/>
      </c>
      <c r="B506" s="16" t="inlineStr">
        <is>
          <t>Holothuria Edulis</t>
        </is>
      </c>
      <c r="C506" s="17" t="inlineStr"/>
      <c r="D506" s="17" t="inlineStr">
        <is>
          <t>Ask / Seasonal</t>
        </is>
      </c>
    </row>
    <row r="507">
      <c r="A507" s="15">
        <f>HYPERLINK("https://shoreaquatic.com/shop/swl-spider-conch","Spider Conch")</f>
        <v/>
      </c>
      <c r="B507" s="16" t="inlineStr">
        <is>
          <t>Lambis Lambis</t>
        </is>
      </c>
      <c r="C507" s="17" t="inlineStr"/>
      <c r="D507" s="17" t="inlineStr">
        <is>
          <t>Ask / Seasonal</t>
        </is>
      </c>
    </row>
    <row r="508">
      <c r="A508" s="15">
        <f>HYPERLINK("https://shoreaquatic.com/shop/swl-star-snail-10pk","Star Snail \u2014 10 Pack")</f>
        <v/>
      </c>
      <c r="B508" s="16" t="inlineStr"/>
      <c r="C508" s="17" t="inlineStr">
        <is>
          <t>10-pack</t>
        </is>
      </c>
      <c r="D508" s="17" t="inlineStr">
        <is>
          <t>Ask / Seasonal</t>
        </is>
      </c>
    </row>
    <row r="509">
      <c r="A509" s="15">
        <f>HYPERLINK("https://shoreaquatic.com/shop/swl-strawberry-conch-5pk","Strawberry Conch \u2014 5 Pack")</f>
        <v/>
      </c>
      <c r="B509" s="16" t="inlineStr">
        <is>
          <t>Strombus Luhuanus</t>
        </is>
      </c>
      <c r="C509" s="17" t="inlineStr">
        <is>
          <t>5-pack</t>
        </is>
      </c>
      <c r="D509" s="17" t="inlineStr">
        <is>
          <t>Ask / Seasonal</t>
        </is>
      </c>
    </row>
    <row r="510">
      <c r="A510" s="15">
        <f>HYPERLINK("https://shoreaquatic.com/shop/swl-tiger-pistol","Tiger Pistol")</f>
        <v/>
      </c>
      <c r="B510" s="16" t="inlineStr">
        <is>
          <t>Alpheus Bellulus</t>
        </is>
      </c>
      <c r="C510" s="17" t="inlineStr"/>
      <c r="D510" s="17" t="inlineStr">
        <is>
          <t>Ask / Seasonal</t>
        </is>
      </c>
    </row>
    <row r="511">
      <c r="A511" s="15">
        <f>HYPERLINK("https://shoreaquatic.com/shop/swl-tiger-pistol-shrimp-medium","Tiger Pistol Shrimp (Medium)")</f>
        <v/>
      </c>
      <c r="B511" s="16" t="inlineStr"/>
      <c r="C511" s="17" t="inlineStr">
        <is>
          <t>Medium</t>
        </is>
      </c>
      <c r="D511" s="17" t="inlineStr">
        <is>
          <t>Ask / Seasonal</t>
        </is>
      </c>
    </row>
    <row r="512">
      <c r="A512" s="15">
        <f>HYPERLINK("https://shoreaquatic.com/shop/swl-tongan-nassarius-5pk","Tongan Nassarius \u2014 5 Pack")</f>
        <v/>
      </c>
      <c r="B512" s="16" t="inlineStr">
        <is>
          <t>Nassarius Distortus</t>
        </is>
      </c>
      <c r="C512" s="17" t="inlineStr">
        <is>
          <t>5-pack</t>
        </is>
      </c>
      <c r="D512" s="17" t="inlineStr">
        <is>
          <t>Ask / Seasonal</t>
        </is>
      </c>
    </row>
    <row r="513">
      <c r="A513" s="15">
        <f>HYPERLINK("https://shoreaquatic.com/shop/swl-tricolor-nudibranch","Tricolor Nudibranch")</f>
        <v/>
      </c>
      <c r="B513" s="16" t="inlineStr">
        <is>
          <t>Chromodoris Quadricolor</t>
        </is>
      </c>
      <c r="C513" s="17" t="inlineStr"/>
      <c r="D513" s="17" t="inlineStr">
        <is>
          <t>Ask / Seasonal</t>
        </is>
      </c>
    </row>
    <row r="514">
      <c r="A514" s="15">
        <f>HYPERLINK("https://shoreaquatic.com/shop/swl-turbo-snail-25pk","Turbo Snail \u2014 25 Pack")</f>
        <v/>
      </c>
      <c r="B514" s="16" t="inlineStr"/>
      <c r="C514" s="17" t="inlineStr">
        <is>
          <t>25-pack</t>
        </is>
      </c>
      <c r="D514" s="17" t="inlineStr">
        <is>
          <t>Ask / Seasonal</t>
        </is>
      </c>
    </row>
    <row r="515">
      <c r="A515" s="15">
        <f>HYPERLINK("https://shoreaquatic.com/shop/swl-tuxedo-urchin","Tuxedo Urchin")</f>
        <v/>
      </c>
      <c r="B515" s="16" t="inlineStr">
        <is>
          <t>Mespilia Globulus</t>
        </is>
      </c>
      <c r="C515" s="17" t="inlineStr"/>
      <c r="D515" s="17" t="inlineStr">
        <is>
          <t>Ask / Seasonal</t>
        </is>
      </c>
    </row>
    <row r="516">
      <c r="A516" s="15">
        <f>HYPERLINK("https://shoreaquatic.com/shop/swl-west-indian-star-snail-5pk","West Indian Star Snail \u2014 5 Pack")</f>
        <v/>
      </c>
      <c r="B516" s="16" t="inlineStr">
        <is>
          <t>Lithopoma Tectum</t>
        </is>
      </c>
      <c r="C516" s="17" t="inlineStr">
        <is>
          <t>5-pack</t>
        </is>
      </c>
      <c r="D516" s="17" t="inlineStr">
        <is>
          <t>Ask / Seasonal</t>
        </is>
      </c>
    </row>
    <row r="517">
      <c r="A517" s="15">
        <f>HYPERLINK("https://shoreaquatic.com/shop/swl-white-trochus-snail-5pk","White Trochus Snail \u2014 5 Pack")</f>
        <v/>
      </c>
      <c r="B517" s="16" t="inlineStr">
        <is>
          <t>Trochus Maculatus</t>
        </is>
      </c>
      <c r="C517" s="17" t="inlineStr">
        <is>
          <t>5-pack</t>
        </is>
      </c>
      <c r="D517" s="17" t="inlineStr">
        <is>
          <t>Ask / Seasonal</t>
        </is>
      </c>
    </row>
    <row r="518">
      <c r="A518" s="15">
        <f>HYPERLINK("https://shoreaquatic.com/shop/swl-wild-seahorse","Wild Seahorse")</f>
        <v/>
      </c>
      <c r="B518" s="16" t="inlineStr">
        <is>
          <t>Hippocampus Erectus</t>
        </is>
      </c>
      <c r="C518" s="17" t="inlineStr"/>
      <c r="D518" s="17" t="inlineStr">
        <is>
          <t>Ask / Seasonal</t>
        </is>
      </c>
    </row>
    <row r="519">
      <c r="A519" s="15">
        <f>HYPERLINK("https://shoreaquatic.com/shop/swl-yellow-cucumber","Yellow Cucumber")</f>
        <v/>
      </c>
      <c r="B519" s="16" t="inlineStr">
        <is>
          <t>Holothuria Atra</t>
        </is>
      </c>
      <c r="C519" s="17" t="inlineStr"/>
      <c r="D519" s="17" t="inlineStr">
        <is>
          <t>Ask / Seasonal</t>
        </is>
      </c>
    </row>
    <row r="520">
      <c r="A520" s="15">
        <f>HYPERLINK("https://shoreaquatic.com/shop/swl-yellow-frilly-sponge","Yellow Frilly Sponge")</f>
        <v/>
      </c>
      <c r="B520" s="16" t="inlineStr">
        <is>
          <t>Halichondria Spp</t>
        </is>
      </c>
      <c r="C520" s="17" t="inlineStr"/>
      <c r="D520" s="17" t="inlineStr">
        <is>
          <t>Ask / Seasonal</t>
        </is>
      </c>
    </row>
    <row r="521">
      <c r="A521" s="15">
        <f>HYPERLINK("https://shoreaquatic.com/shop/swl-yellow-red-tree-sponge","Yellow/Red Tree Sponge")</f>
        <v/>
      </c>
      <c r="B521" s="16" t="inlineStr">
        <is>
          <t>Ptilocaulis Spp</t>
        </is>
      </c>
      <c r="C521" s="17" t="inlineStr"/>
      <c r="D521" s="17" t="inlineStr">
        <is>
          <t>Ask / Seasonal</t>
        </is>
      </c>
    </row>
    <row r="522">
      <c r="A522" s="15">
        <f>HYPERLINK("https://shoreaquatic.com/shop/swl-zebra-turbo-5pk","Zebra Turbo \u2014 5 Pack")</f>
        <v/>
      </c>
      <c r="B522" s="16" t="inlineStr">
        <is>
          <t>Turbo Sp.</t>
        </is>
      </c>
      <c r="C522" s="17" t="inlineStr">
        <is>
          <t>5-pack</t>
        </is>
      </c>
      <c r="D522" s="17" t="inlineStr">
        <is>
          <t>Ask / Seasonal</t>
        </is>
      </c>
    </row>
    <row r="523">
      <c r="A523" s="14" t="inlineStr">
        <is>
          <t xml:space="preserve">  Snails  (7)</t>
        </is>
      </c>
    </row>
    <row r="524">
      <c r="A524" s="15">
        <f>HYPERLINK("https://shoreaquatic.com/shop/ls-snail-black-3","Black Mystery Snails — 3 Pack")</f>
        <v/>
      </c>
      <c r="B524" s="16" t="inlineStr">
        <is>
          <t>Pomacea bridgesii</t>
        </is>
      </c>
      <c r="C524" s="17" t="inlineStr">
        <is>
          <t>Juvenile, ~1/2–1 inch</t>
        </is>
      </c>
      <c r="D524" s="17" t="inlineStr">
        <is>
          <t>In Stock</t>
        </is>
      </c>
    </row>
    <row r="525">
      <c r="A525" s="15">
        <f>HYPERLINK("https://shoreaquatic.com/shop/ls-snail-blue-3","Blue Mystery Snails — 3 Pack")</f>
        <v/>
      </c>
      <c r="B525" s="16" t="inlineStr">
        <is>
          <t>Pomacea bridgesii</t>
        </is>
      </c>
      <c r="C525" s="17" t="inlineStr">
        <is>
          <t>Juvenile, ~1/2–1 inch</t>
        </is>
      </c>
      <c r="D525" s="17" t="inlineStr">
        <is>
          <t>In Stock</t>
        </is>
      </c>
    </row>
    <row r="526">
      <c r="A526" s="15">
        <f>HYPERLINK("https://shoreaquatic.com/shop/ls-snail-gold-3","Gold Mystery Snails — 3 Pack")</f>
        <v/>
      </c>
      <c r="B526" s="16" t="inlineStr">
        <is>
          <t>Pomacea bridgesii</t>
        </is>
      </c>
      <c r="C526" s="17" t="inlineStr">
        <is>
          <t>Juvenile, ~1/2–1 inch</t>
        </is>
      </c>
      <c r="D526" s="17" t="inlineStr">
        <is>
          <t>In Stock</t>
        </is>
      </c>
    </row>
    <row r="527">
      <c r="A527" s="15">
        <f>HYPERLINK("https://shoreaquatic.com/shop/ls-snail-ivory-3","Ivory Mystery Snails — 3 Pack")</f>
        <v/>
      </c>
      <c r="B527" s="16" t="inlineStr">
        <is>
          <t>Pomacea bridgesii</t>
        </is>
      </c>
      <c r="C527" s="17" t="inlineStr">
        <is>
          <t>Juvenile, ~1/2–1 inch</t>
        </is>
      </c>
      <c r="D527" s="17" t="inlineStr">
        <is>
          <t>In Stock</t>
        </is>
      </c>
    </row>
    <row r="528">
      <c r="A528" s="15">
        <f>HYPERLINK("https://shoreaquatic.com/shop/ls-snail-assorted-10","Mystery Snails — 10 Pack (Assorted Colors)")</f>
        <v/>
      </c>
      <c r="B528" s="16" t="inlineStr">
        <is>
          <t>Pomacea bridgesii</t>
        </is>
      </c>
      <c r="C528" s="17" t="inlineStr">
        <is>
          <t>Juvenile, ~1/2–1 inch</t>
        </is>
      </c>
      <c r="D528" s="17" t="inlineStr">
        <is>
          <t>In Stock</t>
        </is>
      </c>
    </row>
    <row r="529">
      <c r="A529" s="15">
        <f>HYPERLINK("https://shoreaquatic.com/shop/ls-snail-assorted-3","Mystery Snails — 3 Pack (Assorted Colors)")</f>
        <v/>
      </c>
      <c r="B529" s="16" t="inlineStr">
        <is>
          <t>Pomacea bridgesii</t>
        </is>
      </c>
      <c r="C529" s="17" t="inlineStr">
        <is>
          <t>Juvenile, ~1/2–1 inch</t>
        </is>
      </c>
      <c r="D529" s="17" t="inlineStr">
        <is>
          <t>In Stock</t>
        </is>
      </c>
    </row>
    <row r="530">
      <c r="A530" s="15">
        <f>HYPERLINK("https://shoreaquatic.com/shop/ls-snail-purple-3","Purple Mystery Snails — 3 Pack")</f>
        <v/>
      </c>
      <c r="B530" s="16" t="inlineStr">
        <is>
          <t>Pomacea bridgesii</t>
        </is>
      </c>
      <c r="C530" s="17" t="inlineStr">
        <is>
          <t>Juvenile, ~1/2–1 inch</t>
        </is>
      </c>
      <c r="D530" s="17" t="inlineStr">
        <is>
          <t>In Stock</t>
        </is>
      </c>
    </row>
  </sheetData>
  <mergeCells count="8">
    <mergeCell ref="A1:D1"/>
    <mergeCell ref="A23:D23"/>
    <mergeCell ref="A523:D523"/>
    <mergeCell ref="A399:D399"/>
    <mergeCell ref="A4:D4"/>
    <mergeCell ref="A128:D128"/>
    <mergeCell ref="A2:D2"/>
    <mergeCell ref="A28:D2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32" customWidth="1" min="2" max="2"/>
    <col width="20" customWidth="1" min="3" max="3"/>
    <col width="16" customWidth="1" min="4" max="4"/>
  </cols>
  <sheetData>
    <row r="1">
      <c r="A1" s="11" t="inlineStr">
        <is>
          <t>SALTWATER  —  Shore Aquatic Wholesale</t>
        </is>
      </c>
    </row>
    <row r="2">
      <c r="A2" s="12" t="inlineStr">
        <is>
          <t>Full range shown · pricing available to approved wholesale accounts · click a name to view online</t>
        </is>
      </c>
    </row>
    <row r="3">
      <c r="A3" s="13" t="inlineStr">
        <is>
          <t>Item (click to view)</t>
        </is>
      </c>
      <c r="B3" s="13" t="inlineStr">
        <is>
          <t>Scientific Name</t>
        </is>
      </c>
      <c r="C3" s="13" t="inlineStr">
        <is>
          <t>Size</t>
        </is>
      </c>
      <c r="D3" s="13" t="inlineStr">
        <is>
          <t>Availability</t>
        </is>
      </c>
    </row>
    <row r="4">
      <c r="A4" s="14" t="inlineStr">
        <is>
          <t xml:space="preserve">  Live Food  (1)</t>
        </is>
      </c>
    </row>
    <row r="5">
      <c r="A5" s="15">
        <f>HYPERLINK("https://shoreaquatic.com/shop/live-marine-rotifers","Live Marine Rotifers (L-Type Brachionus)")</f>
        <v/>
      </c>
      <c r="B5" s="16" t="inlineStr">
        <is>
          <t>Brachionus plicatilis</t>
        </is>
      </c>
      <c r="C5" s="17" t="inlineStr">
        <is>
          <t>4 oz – 1 Gallon</t>
        </is>
      </c>
      <c r="D5" s="17" t="inlineStr">
        <is>
          <t>In Stock</t>
        </is>
      </c>
    </row>
    <row r="6">
      <c r="A6" s="14" t="inlineStr">
        <is>
          <t xml:space="preserve">  Macroalgae  (7)</t>
        </is>
      </c>
    </row>
    <row r="7">
      <c r="A7" s="15">
        <f>HYPERLINK("https://shoreaquatic.com/shop/swl-chaetomorpha","Chaetomorpha")</f>
        <v/>
      </c>
      <c r="B7" s="16" t="inlineStr"/>
      <c r="C7" s="17" t="inlineStr"/>
      <c r="D7" s="17" t="inlineStr">
        <is>
          <t>Ask / Seasonal</t>
        </is>
      </c>
    </row>
    <row r="8">
      <c r="A8" s="15">
        <f>HYPERLINK("https://shoreaquatic.com/shop/sw-chaeto","Chaetomorpha Macroalgae")</f>
        <v/>
      </c>
      <c r="B8" s="16" t="inlineStr">
        <is>
          <t>Chaetomorpha linum</t>
        </is>
      </c>
      <c r="C8" s="17" t="inlineStr">
        <is>
          <t>Golf ball size</t>
        </is>
      </c>
      <c r="D8" s="17" t="inlineStr">
        <is>
          <t>In Stock</t>
        </is>
      </c>
    </row>
    <row r="9">
      <c r="A9" s="15">
        <f>HYPERLINK("https://shoreaquatic.com/shop/swl-dragon-s-breath-algae-by-the-clump","Dragon'S Breath Algae (By The Clump)")</f>
        <v/>
      </c>
      <c r="B9" s="16" t="inlineStr">
        <is>
          <t>Halymenia</t>
        </is>
      </c>
      <c r="C9" s="17" t="inlineStr"/>
      <c r="D9" s="17" t="inlineStr">
        <is>
          <t>Ask / Seasonal</t>
        </is>
      </c>
    </row>
    <row r="10">
      <c r="A10" s="15">
        <f>HYPERLINK("https://shoreaquatic.com/shop/swl-mangrove-with-leaves-5pk","Mangrove With Leaves \u2014 5 Pack")</f>
        <v/>
      </c>
      <c r="B10" s="16" t="inlineStr">
        <is>
          <t>Rhizophora Mangle</t>
        </is>
      </c>
      <c r="C10" s="17" t="inlineStr">
        <is>
          <t>5-pack</t>
        </is>
      </c>
      <c r="D10" s="17" t="inlineStr">
        <is>
          <t>Ask / Seasonal</t>
        </is>
      </c>
    </row>
    <row r="11">
      <c r="A11" s="15">
        <f>HYPERLINK("https://shoreaquatic.com/shop/sw-pompom","Pom Pom Gracilaria Macroalgae")</f>
        <v/>
      </c>
      <c r="B11" s="16" t="inlineStr">
        <is>
          <t>Gracilaria hayi</t>
        </is>
      </c>
      <c r="C11" s="17" t="inlineStr">
        <is>
          <t>Small / Medium</t>
        </is>
      </c>
      <c r="D11" s="17" t="inlineStr">
        <is>
          <t>In Stock</t>
        </is>
      </c>
    </row>
    <row r="12">
      <c r="A12" s="15">
        <f>HYPERLINK("https://shoreaquatic.com/shop/sw-redogo","Red Ogo Gracilaria Macroalgae")</f>
        <v/>
      </c>
      <c r="B12" s="16" t="inlineStr">
        <is>
          <t>Gracilaria parvispora</t>
        </is>
      </c>
      <c r="C12" s="17" t="inlineStr">
        <is>
          <t>Golf ball size</t>
        </is>
      </c>
      <c r="D12" s="17" t="inlineStr">
        <is>
          <t>In Stock</t>
        </is>
      </c>
    </row>
    <row r="13">
      <c r="A13" s="15">
        <f>HYPERLINK("https://shoreaquatic.com/shop/swl-red-ogo-tang-heaven-gracilaria-1-lb","Red Ogo(Tang Heaven) Gracilaria (1 Lb)")</f>
        <v/>
      </c>
      <c r="B13" s="16" t="inlineStr">
        <is>
          <t>Gracilaria Parvispora</t>
        </is>
      </c>
      <c r="C13" s="17" t="inlineStr"/>
      <c r="D13" s="17" t="inlineStr">
        <is>
          <t>Ask / Seasonal</t>
        </is>
      </c>
    </row>
  </sheetData>
  <mergeCells count="4">
    <mergeCell ref="A1:D1"/>
    <mergeCell ref="A4:D4"/>
    <mergeCell ref="A2:D2"/>
    <mergeCell ref="A6:D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32" customWidth="1" min="2" max="2"/>
    <col width="20" customWidth="1" min="3" max="3"/>
    <col width="16" customWidth="1" min="4" max="4"/>
  </cols>
  <sheetData>
    <row r="1">
      <c r="A1" s="11" t="inlineStr">
        <is>
          <t>DRY GOODS  —  Shore Aquatic Wholesale</t>
        </is>
      </c>
    </row>
    <row r="2">
      <c r="A2" s="12" t="inlineStr">
        <is>
          <t>Full range shown · pricing available to approved wholesale accounts · click a name to view online</t>
        </is>
      </c>
    </row>
    <row r="3">
      <c r="A3" s="13" t="inlineStr">
        <is>
          <t>Item (click to view)</t>
        </is>
      </c>
      <c r="B3" s="13" t="inlineStr">
        <is>
          <t>Scientific Name</t>
        </is>
      </c>
      <c r="C3" s="13" t="inlineStr">
        <is>
          <t>Size</t>
        </is>
      </c>
      <c r="D3" s="13" t="inlineStr">
        <is>
          <t>Availability</t>
        </is>
      </c>
    </row>
    <row r="4">
      <c r="A4" s="14" t="inlineStr">
        <is>
          <t xml:space="preserve">  Accessories  (3)</t>
        </is>
      </c>
    </row>
    <row r="5">
      <c r="A5" s="15">
        <f>HYPERLINK("https://shoreaquatic.com/shop/aquastik-epoxy-putty-coraline-red-4-oz-stick-for-underwater-coral-adhesion","AquaStik Epoxy Putty Coraline Red 4 oz stick for underwater coral adhesion")</f>
        <v/>
      </c>
      <c r="B5" s="16" t="inlineStr"/>
      <c r="C5" s="17" t="inlineStr"/>
      <c r="D5" s="17" t="inlineStr">
        <is>
          <t>In Stock</t>
        </is>
      </c>
    </row>
    <row r="6">
      <c r="A6" s="15">
        <f>HYPERLINK("https://shoreaquatic.com/shop/ista-metal-air-valve-2-3-4-or-5-gang","ISTA METAL AIR VALVE \u2013 (2, 3, 4, OR 5 GANG)")</f>
        <v/>
      </c>
      <c r="B6" s="16" t="inlineStr"/>
      <c r="C6" s="17" t="inlineStr"/>
      <c r="D6" s="17" t="inlineStr">
        <is>
          <t>Seasonal</t>
        </is>
      </c>
    </row>
    <row r="7">
      <c r="A7" s="15">
        <f>HYPERLINK("https://shoreaquatic.com/shop/ista-planaria-trap","ISTA PLANARIA TRAP")</f>
        <v/>
      </c>
      <c r="B7" s="16" t="inlineStr"/>
      <c r="C7" s="17" t="inlineStr"/>
      <c r="D7" s="17" t="inlineStr">
        <is>
          <t>Seasonal</t>
        </is>
      </c>
    </row>
    <row r="8">
      <c r="A8" s="14" t="inlineStr">
        <is>
          <t xml:space="preserve">  CO2 Equipment  (18)</t>
        </is>
      </c>
    </row>
    <row r="9">
      <c r="A9" s="15">
        <f>HYPERLINK("https://shoreaquatic.com/shop/c02-begginer-bundle-package-ista-c02-cans-diffuser-set-co2-indicator-solution","C02 Begginer Bundle Package: ISTA C02 Cans &amp; Diffuser Set")</f>
        <v/>
      </c>
      <c r="B9" s="16" t="inlineStr"/>
      <c r="C9" s="17" t="inlineStr"/>
      <c r="D9" s="17" t="inlineStr">
        <is>
          <t>In Stock</t>
        </is>
      </c>
    </row>
    <row r="10">
      <c r="A10" s="15">
        <f>HYPERLINK("https://shoreaquatic.com/shop/ista-2-in-1-co2-bubble-counter-with-check-valve","ISTA 2 IN 1 CO2 BUBBLE COUNTER WITH CHECK VALVE")</f>
        <v/>
      </c>
      <c r="B10" s="16" t="inlineStr"/>
      <c r="C10" s="17" t="inlineStr"/>
      <c r="D10" s="17" t="inlineStr">
        <is>
          <t>In Stock</t>
        </is>
      </c>
    </row>
    <row r="11">
      <c r="A11" s="15">
        <f>HYPERLINK("https://shoreaquatic.com/shop/ista-acu-dose-co2-pressure-regulator-360-rotatable-outlet","ISTA ACU-DOSE CO2 PRESSURE REGULATOR (360\u00b0 ROTATABLE OUTLET)")</f>
        <v/>
      </c>
      <c r="B11" s="16" t="inlineStr"/>
      <c r="C11" s="17" t="inlineStr"/>
      <c r="D11" s="17" t="inlineStr">
        <is>
          <t>In Stock</t>
        </is>
      </c>
    </row>
    <row r="12">
      <c r="A12" s="15">
        <f>HYPERLINK("https://shoreaquatic.com/shop/ista-co2-45g-cartridge-supply-set","ISTA CO2 45g CARTRIDGE SUPPLY SET")</f>
        <v/>
      </c>
      <c r="B12" s="16" t="inlineStr"/>
      <c r="C12" s="17" t="inlineStr"/>
      <c r="D12" s="17" t="inlineStr">
        <is>
          <t>In Stock</t>
        </is>
      </c>
    </row>
    <row r="13">
      <c r="A13" s="15">
        <f>HYPERLINK("https://shoreaquatic.com/shop/ista-co2-88g-cartridge-supply-set","ISTA CO2 88G CARTRIDGE SUPPLY SET")</f>
        <v/>
      </c>
      <c r="B13" s="16" t="inlineStr"/>
      <c r="C13" s="17" t="inlineStr"/>
      <c r="D13" s="17" t="inlineStr">
        <is>
          <t>In Stock</t>
        </is>
      </c>
    </row>
    <row r="14">
      <c r="A14" s="15">
        <f>HYPERLINK("https://shoreaquatic.com/shop/ista-co2-95g-disposable-cartridge-supply-set-basic","ISTA CO2 95G DISPOSABLE CARTRIDGE SUPPLY SET \u2013 BASIC")</f>
        <v/>
      </c>
      <c r="B14" s="16" t="inlineStr"/>
      <c r="C14" s="17" t="inlineStr"/>
      <c r="D14" s="17" t="inlineStr">
        <is>
          <t>In Stock</t>
        </is>
      </c>
    </row>
    <row r="15">
      <c r="A15" s="15">
        <f>HYPERLINK("https://shoreaquatic.com/shop/ista-co2-controller-mini-gauge-vertical","ISTA CO2 CONTROLLER \u2013 MINI GAUGE \u2013 VERTICAL")</f>
        <v/>
      </c>
      <c r="B15" s="16" t="inlineStr"/>
      <c r="C15" s="17" t="inlineStr"/>
      <c r="D15" s="17" t="inlineStr">
        <is>
          <t>In Stock</t>
        </is>
      </c>
    </row>
    <row r="16">
      <c r="A16" s="15">
        <f>HYPERLINK("https://shoreaquatic.com/shop/ista-co2-diffuser-3-in-1","ISTA CO2 DIFFUSER \u2013 3 IN 1")</f>
        <v/>
      </c>
      <c r="B16" s="16" t="inlineStr"/>
      <c r="C16" s="17" t="inlineStr"/>
      <c r="D16" s="17" t="inlineStr">
        <is>
          <t>In Stock</t>
        </is>
      </c>
    </row>
    <row r="17">
      <c r="A17" s="15">
        <f>HYPERLINK("https://shoreaquatic.com/shop/ista-co2-indicator-solution","ISTA CO2 INDICATOR SOLUTION")</f>
        <v/>
      </c>
      <c r="B17" s="16" t="inlineStr"/>
      <c r="C17" s="17" t="inlineStr"/>
      <c r="D17" s="17" t="inlineStr">
        <is>
          <t>In Stock</t>
        </is>
      </c>
    </row>
    <row r="18">
      <c r="A18" s="15">
        <f>HYPERLINK("https://shoreaquatic.com/shop/co2-indicator-all-angle-view","ISTA CO2 INDICATOR \u2013 ALL ANGLE VIEW")</f>
        <v/>
      </c>
      <c r="B18" s="16" t="inlineStr"/>
      <c r="C18" s="17" t="inlineStr"/>
      <c r="D18" s="17" t="inlineStr">
        <is>
          <t>In Stock</t>
        </is>
      </c>
    </row>
    <row r="19">
      <c r="A19" s="15">
        <f>HYPERLINK("https://shoreaquatic.com/shop/ista-disposable-co2-can-3-piece","ISTA DISPOSABLE CO2 CAN (3 PIECE)")</f>
        <v/>
      </c>
      <c r="B19" s="16" t="inlineStr"/>
      <c r="C19" s="17" t="inlineStr"/>
      <c r="D19" s="17" t="inlineStr">
        <is>
          <t>In Stock</t>
        </is>
      </c>
    </row>
    <row r="20">
      <c r="A20" s="15">
        <f>HYPERLINK("https://shoreaquatic.com/shop/ista-disposable-co2-cartridge-88g","ISTA DISPOSABLE CO2 CARTRIDGE / 95G")</f>
        <v/>
      </c>
      <c r="B20" s="16" t="inlineStr"/>
      <c r="C20" s="17" t="inlineStr"/>
      <c r="D20" s="17" t="inlineStr">
        <is>
          <t>In Stock</t>
        </is>
      </c>
    </row>
    <row r="21">
      <c r="A21" s="15">
        <f>HYPERLINK("https://shoreaquatic.com/shop/ista-mini-ceramic-co2-diffuser-cone","ISTA MINI CERAMIC CO2 DIFFUSER \u2013 CONE")</f>
        <v/>
      </c>
      <c r="B21" s="16" t="inlineStr"/>
      <c r="C21" s="17" t="inlineStr"/>
      <c r="D21" s="17" t="inlineStr">
        <is>
          <t>In Stock</t>
        </is>
      </c>
    </row>
    <row r="22">
      <c r="A22" s="15">
        <f>HYPERLINK("https://shoreaquatic.com/shop/ista-mini-co2-bubble-counter","ISTA MINI CO2 BUBBLE COUNTER")</f>
        <v/>
      </c>
      <c r="B22" s="16" t="inlineStr"/>
      <c r="C22" s="17" t="inlineStr"/>
      <c r="D22" s="17" t="inlineStr">
        <is>
          <t>In Stock</t>
        </is>
      </c>
    </row>
    <row r="23">
      <c r="A23" s="15">
        <f>HYPERLINK("https://shoreaquatic.com/shop/replacement-ceramic-ufo-co2-diffuser","ISTA REPLACEMENT CERAMIC (UFO CO2 DIFFUSER)")</f>
        <v/>
      </c>
      <c r="B23" s="16" t="inlineStr"/>
      <c r="C23" s="17" t="inlineStr"/>
      <c r="D23" s="17" t="inlineStr">
        <is>
          <t>In Stock</t>
        </is>
      </c>
    </row>
    <row r="24">
      <c r="A24" s="15">
        <f>HYPERLINK("https://shoreaquatic.com/shop/ista-spring-check-valve-for-co2-for-air-pump-applications","ISTA SPRING CHECK VALVE FOR CO2 FOR AIR PUMP APPLICATIONS")</f>
        <v/>
      </c>
      <c r="B24" s="16" t="inlineStr"/>
      <c r="C24" s="17" t="inlineStr"/>
      <c r="D24" s="17" t="inlineStr">
        <is>
          <t>In Stock</t>
        </is>
      </c>
    </row>
    <row r="25">
      <c r="A25" s="15">
        <f>HYPERLINK("https://shoreaquatic.com/shop/ista-ufo-co2-diffuser","ISTA UFO CO2 DIFFUSER")</f>
        <v/>
      </c>
      <c r="B25" s="16" t="inlineStr"/>
      <c r="C25" s="17" t="inlineStr"/>
      <c r="D25" s="17" t="inlineStr">
        <is>
          <t>In Stock</t>
        </is>
      </c>
    </row>
    <row r="26">
      <c r="A26" s="15">
        <f>HYPERLINK("https://shoreaquatic.com/shop/ista-replacement-co2-diffuser-ceramic-fits-3-in-1-small-co2-diffuser-and-mini","ISTA \u2013 Replacement CO2 Diffuser Ceramic (fits 3-in-1 small CO2 diffuser and mini)")</f>
        <v/>
      </c>
      <c r="B26" s="16" t="inlineStr"/>
      <c r="C26" s="17" t="inlineStr"/>
      <c r="D26" s="17" t="inlineStr">
        <is>
          <t>In Stock</t>
        </is>
      </c>
    </row>
    <row r="27">
      <c r="A27" s="14" t="inlineStr">
        <is>
          <t xml:space="preserve">  Decor  (2)</t>
        </is>
      </c>
    </row>
    <row r="28">
      <c r="A28" s="15">
        <f>HYPERLINK("https://shoreaquatic.com/shop/aquarium-decorations-non-toxic-pirate-themed-for-freshwater-or-saltwater","Aquarium Decorations Non-Toxic Pirate Themed for Freshwater or Saltwater")</f>
        <v/>
      </c>
      <c r="B28" s="16" t="inlineStr"/>
      <c r="C28" s="17" t="inlineStr"/>
      <c r="D28" s="17" t="inlineStr">
        <is>
          <t>In Stock</t>
        </is>
      </c>
    </row>
    <row r="29">
      <c r="A29" s="15">
        <f>HYPERLINK("https://shoreaquatic.com/shop/shore-aquatic-hemigraphis-repanda-bundle-live-aquarium-plant-tropical-freshwater-decorations-pest-free-great-for-starter-tanks","Shore Aquatic Hemigraphis Repanda Bundle Live Aquarium Plant Tropical Freshwater Decorations- Pest free, great for starter tanks")</f>
        <v/>
      </c>
      <c r="B29" s="16" t="inlineStr"/>
      <c r="C29" s="17" t="inlineStr"/>
      <c r="D29" s="17" t="inlineStr">
        <is>
          <t>In Stock</t>
        </is>
      </c>
    </row>
    <row r="30">
      <c r="A30" s="14" t="inlineStr">
        <is>
          <t xml:space="preserve">  Equipment  (2)</t>
        </is>
      </c>
    </row>
    <row r="31">
      <c r="A31" s="15">
        <f>HYPERLINK("https://shoreaquatic.com/shop/green-goddess-concentrated-liquid-fertilizer-easy-to-dose-all-in-one-supplement-for-freshwater-aquariums-promotes-healthy-plant-growth-ideal-for-low-to-moderate-tech-tanks","Green Goddess Concentrated Liquid Fertilizer - Easy to Dose All-in-One Supplement for Freshwater Aquariums - Promotes Healthy Plant Growth - Ideal for Low to Moderate Tech Tanks")</f>
        <v/>
      </c>
      <c r="B31" s="16" t="inlineStr"/>
      <c r="C31" s="17" t="inlineStr"/>
      <c r="D31" s="17" t="inlineStr">
        <is>
          <t>In Stock</t>
        </is>
      </c>
    </row>
    <row r="32">
      <c r="A32" s="15">
        <f>HYPERLINK("https://shoreaquatic.com/shop/ista-bio-sponge-round-bio-foam-large","Ista - Bio Sponge - Round Bio Foam - Large")</f>
        <v/>
      </c>
      <c r="B32" s="16" t="inlineStr"/>
      <c r="C32" s="17" t="inlineStr"/>
      <c r="D32" s="17" t="inlineStr">
        <is>
          <t>In Stock</t>
        </is>
      </c>
    </row>
    <row r="33">
      <c r="A33" s="14" t="inlineStr">
        <is>
          <t xml:space="preserve">  Filtration  (3)</t>
        </is>
      </c>
    </row>
    <row r="34">
      <c r="A34" s="15">
        <f>HYPERLINK("https://shoreaquatic.com/shop/aquael-multikani-expandable-canister-filter","Aquael Multikani expandable canister filter")</f>
        <v/>
      </c>
      <c r="B34" s="16" t="inlineStr"/>
      <c r="C34" s="17" t="inlineStr"/>
      <c r="D34" s="17" t="inlineStr">
        <is>
          <t>In Stock</t>
        </is>
      </c>
    </row>
    <row r="35">
      <c r="A35" s="15">
        <f>HYPERLINK("https://shoreaquatic.com/shop/aquael-pat-mini-tiny-turbine-filter-for-5-30-gallon-tank","Aquael PAT Mini Tiny Turbine Filter (for 5-30 gallon tank)")</f>
        <v/>
      </c>
      <c r="B35" s="16" t="inlineStr"/>
      <c r="C35" s="17" t="inlineStr"/>
      <c r="D35" s="17" t="inlineStr">
        <is>
          <t>In Stock</t>
        </is>
      </c>
    </row>
    <row r="36">
      <c r="A36" s="15">
        <f>HYPERLINK("https://shoreaquatic.com/shop/klir-fleece-roller-filter-di-4","Klir Fleece Roller Filter Di 4")</f>
        <v/>
      </c>
      <c r="B36" s="16" t="inlineStr"/>
      <c r="C36" s="17" t="inlineStr"/>
      <c r="D36" s="17" t="inlineStr">
        <is>
          <t>In Stock</t>
        </is>
      </c>
    </row>
    <row r="37">
      <c r="A37" s="14" t="inlineStr">
        <is>
          <t xml:space="preserve">  Food &amp; Nutrition  (2)</t>
        </is>
      </c>
    </row>
    <row r="38">
      <c r="A38" s="15">
        <f>HYPERLINK("https://shoreaquatic.com/shop/cichlid-sinking-gold-mini-12-oz","Cichlid Sinking Gold - Mini - 12 oz.")</f>
        <v/>
      </c>
      <c r="B38" s="16" t="inlineStr"/>
      <c r="C38" s="17" t="inlineStr"/>
      <c r="D38" s="17" t="inlineStr">
        <is>
          <t>In Stock</t>
        </is>
      </c>
    </row>
    <row r="39">
      <c r="A39" s="15">
        <f>HYPERLINK("https://shoreaquatic.com/shop/phyto-feast-concentrate-32-oz","Phyto Feast Concentrate - 6oz, 16oz, and 32oz")</f>
        <v/>
      </c>
      <c r="B39" s="16" t="inlineStr"/>
      <c r="C39" s="17" t="inlineStr"/>
      <c r="D39" s="17" t="inlineStr">
        <is>
          <t>In Stock</t>
        </is>
      </c>
    </row>
    <row r="40">
      <c r="A40" s="14" t="inlineStr">
        <is>
          <t xml:space="preserve">  Lighting  (2)</t>
        </is>
      </c>
    </row>
    <row r="41">
      <c r="A41" s="15">
        <f>HYPERLINK("https://shoreaquatic.com/shop/ai-hydra-64-hd-led-reef-light-black","AI \u2013 Hydra 64 HD LED Reef Light \u2013 Black")</f>
        <v/>
      </c>
      <c r="B41" s="16" t="inlineStr"/>
      <c r="C41" s="17" t="inlineStr"/>
      <c r="D41" s="17" t="inlineStr">
        <is>
          <t>In Stock</t>
        </is>
      </c>
    </row>
    <row r="42">
      <c r="A42" s="15">
        <f>HYPERLINK("https://shoreaquatic.com/shop/pond-scum-concentrated-liquid-fertilizer-easy-to-dose-all-in-one-supplement-for-freshwater-aquariums-promotes-healthy-plant-growth-ideal-for-low-to-moderate-light-tanks-and-4-ounce","Pond Scum Concentrated Liquid Fertilizer - Easy to Dose All-in-One Supplement for Freshwater Aquariums - Promotes Healthy Plant Growth - Ideal for Low to Moderate Light Tanks and (4 ounce)")</f>
        <v/>
      </c>
      <c r="B42" s="16" t="inlineStr"/>
      <c r="C42" s="17" t="inlineStr"/>
      <c r="D42" s="17" t="inlineStr">
        <is>
          <t>In Stock</t>
        </is>
      </c>
    </row>
    <row r="43">
      <c r="A43" s="14" t="inlineStr">
        <is>
          <t xml:space="preserve">  Pumps &amp; Flow  (5)</t>
        </is>
      </c>
    </row>
    <row r="44">
      <c r="A44" s="15">
        <f>HYPERLINK("https://shoreaquatic.com/shop/aquael-air-pump-miniboost-100","Aquael Air Pump MiniBoost 100")</f>
        <v/>
      </c>
      <c r="B44" s="16" t="inlineStr"/>
      <c r="C44" s="17" t="inlineStr"/>
      <c r="D44" s="17" t="inlineStr">
        <is>
          <t>In Stock</t>
        </is>
      </c>
    </row>
    <row r="45">
      <c r="A45" s="15">
        <f>HYPERLINK("https://shoreaquatic.com/shop/hydor-seltz-d-dc-500-750-or-1000-controllable-universal-water-pump-for-salt-and-freshwater-aquarium","Hydor Seltz D DC 500, 750 or 1000 Controllable Universal Water Pump for Salt and Freshwater Aquarium")</f>
        <v/>
      </c>
      <c r="B45" s="16" t="inlineStr"/>
      <c r="C45" s="17" t="inlineStr"/>
      <c r="D45" s="17" t="inlineStr">
        <is>
          <t>In Stock</t>
        </is>
      </c>
    </row>
    <row r="46">
      <c r="A46" s="15">
        <f>HYPERLINK("https://shoreaquatic.com/shop/icecap-4k-gyre-flow-pump-with-dual-pump-wifi-controller","ICECAP 4K GYRE FLOW PUMP WITH WAVEENGINE LE CONTROLLER")</f>
        <v/>
      </c>
      <c r="B46" s="16" t="inlineStr"/>
      <c r="C46" s="17" t="inlineStr"/>
      <c r="D46" s="17" t="inlineStr">
        <is>
          <t>In Stock</t>
        </is>
      </c>
    </row>
    <row r="47">
      <c r="A47" s="15">
        <f>HYPERLINK("https://shoreaquatic.com/shop/icecap-2k-gyre-flow-pump-with-dual-pump-wifi-controller","IceCap 2K Gyre Flow Pump With WaveEngine LE WiFi Controller")</f>
        <v/>
      </c>
      <c r="B47" s="16" t="inlineStr"/>
      <c r="C47" s="17" t="inlineStr"/>
      <c r="D47" s="17" t="inlineStr">
        <is>
          <t>Seasonal</t>
        </is>
      </c>
    </row>
    <row r="48">
      <c r="A48" s="15">
        <f>HYPERLINK("https://shoreaquatic.com/shop/seachem-impulse-multi-function-aquarium-water-pump-400-600-or-800","Seachem Impulse Multi-Function Aquarium Water Pump 400, 600, or 800")</f>
        <v/>
      </c>
      <c r="B48" s="16" t="inlineStr"/>
      <c r="C48" s="17" t="inlineStr"/>
      <c r="D48" s="17" t="inlineStr">
        <is>
          <t>In Stock</t>
        </is>
      </c>
    </row>
    <row r="49">
      <c r="A49" s="14" t="inlineStr">
        <is>
          <t xml:space="preserve">  Substrate &amp; Hardscape  (14)</t>
        </is>
      </c>
    </row>
    <row r="50">
      <c r="A50" s="15">
        <f>HYPERLINK("https://shoreaquatic.com/shop/caribsea-arag-alive-natural-reef-substrate","CaribSea , ARAG-ALIVE! \u2013 Natural Reef Substrate")</f>
        <v/>
      </c>
      <c r="B50" s="16" t="inlineStr"/>
      <c r="C50" s="17" t="inlineStr"/>
      <c r="D50" s="17" t="inlineStr">
        <is>
          <t>In Stock</t>
        </is>
      </c>
    </row>
    <row r="51">
      <c r="A51" s="15">
        <f>HYPERLINK("https://shoreaquatic.com/shop/caribsea-bimini-pink-arag-alive-saltwater-reef-substrate-10-lb-or-20-lb","CaribSea Bimini Pink ARAG-ALIVE! Saltwater Reef Substrate 10 lb or 20 lb")</f>
        <v/>
      </c>
      <c r="B51" s="16" t="inlineStr"/>
      <c r="C51" s="17" t="inlineStr"/>
      <c r="D51" s="17" t="inlineStr">
        <is>
          <t>In Stock</t>
        </is>
      </c>
    </row>
    <row r="52">
      <c r="A52" s="15">
        <f>HYPERLINK("https://shoreaquatic.com/shop/caribsea-dragon-stone-aquascaping-exotica-freshwater-aquarium-rock-25lbs","CaribSea Dragon Stone Aquascaping Exotica Freshwater Aquarium Rock 25lbs.")</f>
        <v/>
      </c>
      <c r="B52" s="16" t="inlineStr"/>
      <c r="C52" s="17" t="inlineStr"/>
      <c r="D52" s="17" t="inlineStr">
        <is>
          <t>In Stock</t>
        </is>
      </c>
    </row>
    <row r="53">
      <c r="A53" s="15">
        <f>HYPERLINK("https://shoreaquatic.com/shop/caribsea-fiji-pink-arag-alive-live-sand-10-or-20lb-reef-substrate-aquarium-saltwater","CaribSea Fiji Pink ARAG-ALIVE! Live Sand, 10 or 20lb Reef Substrate Aquarium Saltwater")</f>
        <v/>
      </c>
      <c r="B53" s="16" t="inlineStr"/>
      <c r="C53" s="17" t="inlineStr"/>
      <c r="D53" s="17" t="inlineStr">
        <is>
          <t>In Stock</t>
        </is>
      </c>
    </row>
    <row r="54">
      <c r="A54" s="15">
        <f>HYPERLINK("https://shoreaquatic.com/shop/caribsea-liferock-belize-branch-marine-reef-aquarium-20lb-or-40lb","CaribSea Liferock Belize Branch Marine Reef Aquarium 20lb or 40lb")</f>
        <v/>
      </c>
      <c r="B54" s="16" t="inlineStr"/>
      <c r="C54" s="17" t="inlineStr"/>
      <c r="D54" s="17" t="inlineStr">
        <is>
          <t>Seasonal</t>
        </is>
      </c>
    </row>
    <row r="55">
      <c r="A55" s="15">
        <f>HYPERLINK("https://shoreaquatic.com/shop/caribsea-rio-grande-freshwater-substrate-super-natural-5-or-20-lb","CaribSea Rio Grande Freshwater Substrate Super Natural 5 or 20 lb")</f>
        <v/>
      </c>
      <c r="B55" s="16" t="inlineStr"/>
      <c r="C55" s="17" t="inlineStr"/>
      <c r="D55" s="17" t="inlineStr">
        <is>
          <t>In Stock</t>
        </is>
      </c>
    </row>
    <row r="56">
      <c r="A56" s="15">
        <f>HYPERLINK("https://shoreaquatic.com/shop/caribsea-samurai-soil-substrate-for-shrimp-and-planted-aquaria","CaribSea Samurai Soil Substrate for shrimp and planted aquarium")</f>
        <v/>
      </c>
      <c r="B56" s="16" t="inlineStr"/>
      <c r="C56" s="17" t="inlineStr"/>
      <c r="D56" s="17" t="inlineStr">
        <is>
          <t>In Stock</t>
        </is>
      </c>
    </row>
    <row r="57">
      <c r="A57" s="15">
        <f>HYPERLINK("https://shoreaquatic.com/shop/caribsea-eco-complete-planted-freshwater-substrate-black","CaribSea \u2013 ECO COMPLETE PLANTED Freshwater Substrate, Black")</f>
        <v/>
      </c>
      <c r="B57" s="16" t="inlineStr"/>
      <c r="C57" s="17" t="inlineStr"/>
      <c r="D57" s="17" t="inlineStr">
        <is>
          <t>In Stock</t>
        </is>
      </c>
    </row>
    <row r="58">
      <c r="A58" s="15">
        <f>HYPERLINK("https://shoreaquatic.com/shop/caribsea-eco-complete-planted-freshwater-substrate-red","CaribSea \u2013 ECO COMPLETE PLANTED Freshwater Substrate, Red")</f>
        <v/>
      </c>
      <c r="B58" s="16" t="inlineStr"/>
      <c r="C58" s="17" t="inlineStr"/>
      <c r="D58" s="17" t="inlineStr">
        <is>
          <t>In Stock</t>
        </is>
      </c>
    </row>
    <row r="59">
      <c r="A59" s="15">
        <f>HYPERLINK("https://shoreaquatic.com/shop/caribsea-eco-complete-cichlid-zach-black","CaribSea \u2013 ECO-COMPLETE CICHLID Zach Black 20 llb bag")</f>
        <v/>
      </c>
      <c r="B59" s="16" t="inlineStr"/>
      <c r="C59" s="17" t="inlineStr"/>
      <c r="D59" s="17" t="inlineStr">
        <is>
          <t>In Stock</t>
        </is>
      </c>
    </row>
    <row r="60">
      <c r="A60" s="15">
        <f>HYPERLINK("https://shoreaquatic.com/shop/caribsea-life-rock-frag-zone","CaribSea \u2013 Life Rock Frag Zone")</f>
        <v/>
      </c>
      <c r="B60" s="16" t="inlineStr"/>
      <c r="C60" s="17" t="inlineStr"/>
      <c r="D60" s="17" t="inlineStr">
        <is>
          <t>In Stock</t>
        </is>
      </c>
    </row>
    <row r="61">
      <c r="A61" s="15">
        <f>HYPERLINK("https://shoreaquatic.com/shop/caribsea-liferock-for-aquascapes-and-reefs-20-lb-box","CaribSea \u2013 LifeRock for Aquascapes and Reefs (20 lb box)")</f>
        <v/>
      </c>
      <c r="B61" s="16" t="inlineStr"/>
      <c r="C61" s="17" t="inlineStr"/>
      <c r="D61" s="17" t="inlineStr">
        <is>
          <t>In Stock</t>
        </is>
      </c>
    </row>
    <row r="62">
      <c r="A62" s="15">
        <f>HYPERLINK("https://shoreaquatic.com/shop/caribsea-mountain-stone-seiryu-stone-black-5-lbs","CaribSea \u2013 Mountain Stone/Seiryu Stone, Black")</f>
        <v/>
      </c>
      <c r="B62" s="16" t="inlineStr"/>
      <c r="C62" s="17" t="inlineStr"/>
      <c r="D62" s="17" t="inlineStr">
        <is>
          <t>In Stock</t>
        </is>
      </c>
    </row>
    <row r="63">
      <c r="A63" s="15">
        <f>HYPERLINK("https://shoreaquatic.com/shop/caribsea-eco-complete-cichlid-freshwater-substrate-white","CaribSea-Eco Complete Cichlid Freshwater Substrate, White 20 lb bag")</f>
        <v/>
      </c>
      <c r="B63" s="16" t="inlineStr"/>
      <c r="C63" s="17" t="inlineStr"/>
      <c r="D63" s="17" t="inlineStr">
        <is>
          <t>In Stock</t>
        </is>
      </c>
    </row>
    <row r="64">
      <c r="A64" s="14" t="inlineStr">
        <is>
          <t xml:space="preserve">  Water Treatment  (5)</t>
        </is>
      </c>
    </row>
    <row r="65">
      <c r="A65" s="15">
        <f>HYPERLINK("https://shoreaquatic.com/shop/aquaforest-di-resin-1l-for-rodi","Aquaforest DI Resin 1L for RODI")</f>
        <v/>
      </c>
      <c r="B65" s="16" t="inlineStr"/>
      <c r="C65" s="17" t="inlineStr"/>
      <c r="D65" s="17" t="inlineStr">
        <is>
          <t>In Stock</t>
        </is>
      </c>
    </row>
    <row r="66">
      <c r="A66" s="15">
        <f>HYPERLINK("https://shoreaquatic.com/shop/boyd-enterprises-chemipure-blue","Boyd Enterprises-Chemipure Blue")</f>
        <v/>
      </c>
      <c r="B66" s="16" t="inlineStr"/>
      <c r="C66" s="17" t="inlineStr"/>
      <c r="D66" s="17" t="inlineStr">
        <is>
          <t>In Stock</t>
        </is>
      </c>
    </row>
    <row r="67">
      <c r="A67" s="15">
        <f>HYPERLINK("https://shoreaquatic.com/shop/coral-rx-8oz-coral-dip","Coral RX 8oz Coral Dip")</f>
        <v/>
      </c>
      <c r="B67" s="16" t="inlineStr"/>
      <c r="C67" s="17" t="inlineStr"/>
      <c r="D67" s="17" t="inlineStr">
        <is>
          <t>In Stock</t>
        </is>
      </c>
    </row>
    <row r="68">
      <c r="A68" s="15">
        <f>HYPERLINK("https://shoreaquatic.com/shop/coral-rx-pro-concentated-coral-dip-1oz","Coral RX Pro- Concentated Coral Dip 1oz")</f>
        <v/>
      </c>
      <c r="B68" s="16" t="inlineStr"/>
      <c r="C68" s="17" t="inlineStr"/>
      <c r="D68" s="17" t="inlineStr">
        <is>
          <t>In Stock</t>
        </is>
      </c>
    </row>
    <row r="69">
      <c r="A69" s="15">
        <f>HYPERLINK("https://shoreaquatic.com/shop/icecap-di-media-color-indicating-mized-bed-deionization-resin-1-25-lbs","IceCap DI Media Color indicating mixed bed deionization resin 1.25 lbs.")</f>
        <v/>
      </c>
      <c r="B69" s="16" t="inlineStr"/>
      <c r="C69" s="17" t="inlineStr"/>
      <c r="D69" s="17" t="inlineStr">
        <is>
          <t>In Stock</t>
        </is>
      </c>
    </row>
  </sheetData>
  <mergeCells count="12">
    <mergeCell ref="A1:D1"/>
    <mergeCell ref="A37:D37"/>
    <mergeCell ref="A40:D40"/>
    <mergeCell ref="A27:D27"/>
    <mergeCell ref="A8:D8"/>
    <mergeCell ref="A4:D4"/>
    <mergeCell ref="A30:D30"/>
    <mergeCell ref="A64:D64"/>
    <mergeCell ref="A43:D43"/>
    <mergeCell ref="A2:D2"/>
    <mergeCell ref="A33:D33"/>
    <mergeCell ref="A49:D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2026-09-30T18:25:46Z</dcterms:created>
  <dcterms:modified xmlns:dcterms="http://purl.org/dc/terms/" xmlns:xsi="http://www.w3.org/2001/XMLSchema-instance" xsi:type="dcterms:W3CDTF">2026-09-30T18:25:47Z</dcterms:modified>
</cp:coreProperties>
</file>